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C5FC" lockStructure="1"/>
  <bookViews>
    <workbookView xWindow="2025" yWindow="645" windowWidth="13110" windowHeight="9075"/>
  </bookViews>
  <sheets>
    <sheet name="Calculator" sheetId="3" r:id="rId1"/>
    <sheet name="Data" sheetId="4" state="hidden" r:id="rId2"/>
  </sheets>
  <definedNames>
    <definedName name="CoS_TO">Calculator!$H$19</definedName>
    <definedName name="CoS_TOLargeLower">Data!$D$9</definedName>
    <definedName name="CoS_TOLargeUpper">Data!$E$9</definedName>
    <definedName name="CoS_TOMedLower">Data!$D$8</definedName>
    <definedName name="CoS_TOMedUpper">Data!$E$8</definedName>
    <definedName name="CoS_TOSmallLower">Data!$D$7</definedName>
    <definedName name="CoS_TOSmallUpper">Data!$E$7</definedName>
    <definedName name="CostofSales">Calculator!$D$19</definedName>
    <definedName name="Labour_TO">Calculator!$H$21</definedName>
    <definedName name="Labour_TOLargeLower">Data!$B$16</definedName>
    <definedName name="Labour_TOLargeUpper">Data!$C$16</definedName>
    <definedName name="Labour_TOMedLower">Data!$B$15</definedName>
    <definedName name="Labour_TOMedUpper">Data!$C$15</definedName>
    <definedName name="Labour_TOSmallLower">Data!$B$14</definedName>
    <definedName name="Labour_TOSmallUpper">Data!$C$14</definedName>
    <definedName name="LabourCost">Calculator!$D$21</definedName>
    <definedName name="LargeTOThreshold">Data!$A$9</definedName>
    <definedName name="MediumTOThreshold">Data!$A$8</definedName>
    <definedName name="MotorvehicleExpenses">Calculator!$D$23</definedName>
    <definedName name="MVExp_TO">Calculator!$H$23</definedName>
    <definedName name="MVExp_TOLargeLower">Data!$F$16</definedName>
    <definedName name="MVExp_TOLargeUpper">Data!$G$16</definedName>
    <definedName name="MVExp_TOMedLower">Data!$F$15</definedName>
    <definedName name="MVExp_TOMedUpper">Data!$G$15</definedName>
    <definedName name="MVExp_TOSmallLower">Data!$F$14</definedName>
    <definedName name="MVExp_TOSmallUpper">Data!$G$14</definedName>
    <definedName name="NonCapitalPurchases">Calculator!$D$25</definedName>
    <definedName name="NonCapPurch_Sales">Calculator!$H$25</definedName>
    <definedName name="NonCapPurch_SalesLargeLower">Data!$H$16</definedName>
    <definedName name="NonCapPurch_SalesLargeUpper">Data!$I$16</definedName>
    <definedName name="NonCapPurch_SalesMedLower">Data!$H$15</definedName>
    <definedName name="NonCapPurch_SalesMedUpper">Data!$I$15</definedName>
    <definedName name="NonCapPurch_SalesSmallLower">Data!$H$14</definedName>
    <definedName name="NonCapPurch_SalesSmallUpper">Data!$I$14</definedName>
    <definedName name="Rent">Calculator!$D$22</definedName>
    <definedName name="Rent_TO">Calculator!$H$22</definedName>
    <definedName name="Rent_TOLargeLower">Data!$D$16</definedName>
    <definedName name="Rent_TOLargeUpper">Data!$E$16</definedName>
    <definedName name="Rent_TOMedLower">Data!$D$15</definedName>
    <definedName name="Rent_TOMedUpper">Data!$E$15</definedName>
    <definedName name="Rent_TOSmallLower">Data!$D$14</definedName>
    <definedName name="Rent_TOSmallUpper">Data!$E$14</definedName>
    <definedName name="Size">Calculator!$A$29</definedName>
    <definedName name="SmallTOThreshold">Data!$A$7</definedName>
    <definedName name="TotalExpenses">Calculator!$D$20</definedName>
    <definedName name="TotalSales">Calculator!$D$26</definedName>
    <definedName name="TotExp_TO">Calculator!$H$20</definedName>
    <definedName name="TotExp_TOLargeLower">Data!$G$9</definedName>
    <definedName name="TotExp_TOLargeUpper">Data!$H$9</definedName>
    <definedName name="TotExp_TOMedLower">Data!$G$8</definedName>
    <definedName name="TotExp_TOMedUpper">Data!$H$8</definedName>
    <definedName name="TotExp_TOSmallLower">Data!$G$7</definedName>
    <definedName name="TotExp_TOSmallUpper">Data!$H$7</definedName>
    <definedName name="Turnover">Calculator!$D$18</definedName>
  </definedNames>
  <calcPr calcId="144525"/>
</workbook>
</file>

<file path=xl/calcChain.xml><?xml version="1.0" encoding="utf-8"?>
<calcChain xmlns="http://schemas.openxmlformats.org/spreadsheetml/2006/main">
  <c r="H19" i="3" l="1"/>
  <c r="H20" i="3"/>
  <c r="H21" i="3"/>
  <c r="H22" i="3"/>
  <c r="H23" i="3"/>
  <c r="I51" i="4"/>
  <c r="I50" i="4" s="1"/>
  <c r="I49" i="4"/>
  <c r="I47" i="4"/>
  <c r="I46" i="4"/>
  <c r="I45" i="4"/>
  <c r="F51" i="4"/>
  <c r="F50" i="4" s="1"/>
  <c r="F49" i="4"/>
  <c r="F47" i="4"/>
  <c r="F46" i="4"/>
  <c r="F45" i="4"/>
  <c r="C51" i="4"/>
  <c r="C50" i="4" s="1"/>
  <c r="C49" i="4"/>
  <c r="C47" i="4"/>
  <c r="C46" i="4"/>
  <c r="C45" i="4"/>
  <c r="I39" i="4"/>
  <c r="I40" i="4"/>
  <c r="I38" i="4"/>
  <c r="I36" i="4"/>
  <c r="I34" i="4"/>
  <c r="F40" i="4"/>
  <c r="F39" i="4" s="1"/>
  <c r="F38" i="4"/>
  <c r="F36" i="4"/>
  <c r="F34" i="4"/>
  <c r="C35" i="4"/>
  <c r="C40" i="4"/>
  <c r="C39" i="4" s="1"/>
  <c r="C38" i="4"/>
  <c r="C36" i="4"/>
  <c r="C34" i="4"/>
  <c r="I28" i="4"/>
  <c r="I24" i="4"/>
  <c r="I27" i="4"/>
  <c r="I29" i="4"/>
  <c r="I25" i="4"/>
  <c r="I23" i="4"/>
  <c r="F29" i="4"/>
  <c r="F28" i="4" s="1"/>
  <c r="F25" i="4"/>
  <c r="F23" i="4"/>
  <c r="F45" i="3"/>
  <c r="H45" i="3"/>
  <c r="D45" i="3"/>
  <c r="H43" i="3"/>
  <c r="F43" i="3"/>
  <c r="D43" i="3"/>
  <c r="B30" i="3" l="1"/>
  <c r="A30" i="3" l="1"/>
  <c r="I16" i="4" l="1"/>
  <c r="I15" i="4"/>
  <c r="I14" i="4"/>
  <c r="H16" i="4"/>
  <c r="H15" i="4"/>
  <c r="H14" i="4"/>
  <c r="G16" i="4"/>
  <c r="G15" i="4"/>
  <c r="G14" i="4"/>
  <c r="F16" i="4"/>
  <c r="F15" i="4"/>
  <c r="F14" i="4"/>
  <c r="E16" i="4"/>
  <c r="E15" i="4"/>
  <c r="E14" i="4"/>
  <c r="D16" i="4"/>
  <c r="D15" i="4"/>
  <c r="D14" i="4"/>
  <c r="C16" i="4"/>
  <c r="C15" i="4"/>
  <c r="C14" i="4"/>
  <c r="B16" i="4"/>
  <c r="B15" i="4"/>
  <c r="B14" i="4"/>
  <c r="I9" i="4"/>
  <c r="I8" i="4"/>
  <c r="I7" i="4"/>
  <c r="H9" i="4"/>
  <c r="H8" i="4"/>
  <c r="H7" i="4"/>
  <c r="G9" i="4"/>
  <c r="G8" i="4"/>
  <c r="G7" i="4"/>
  <c r="F8" i="4"/>
  <c r="F9" i="4"/>
  <c r="E9" i="4"/>
  <c r="E8" i="4"/>
  <c r="D9" i="4"/>
  <c r="D8" i="4"/>
  <c r="F7" i="4"/>
  <c r="E7" i="4"/>
  <c r="D7" i="4"/>
  <c r="A9" i="4"/>
  <c r="A8" i="4"/>
  <c r="B8" i="4"/>
  <c r="B7" i="4"/>
  <c r="A7" i="4"/>
  <c r="B29" i="3" l="1"/>
  <c r="G46" i="4"/>
  <c r="G45" i="4"/>
  <c r="J46" i="4"/>
  <c r="J47" i="4"/>
  <c r="J48" i="4"/>
  <c r="J49" i="4"/>
  <c r="J45" i="4"/>
  <c r="G47" i="4"/>
  <c r="G48" i="4"/>
  <c r="G49" i="4"/>
  <c r="D46" i="4"/>
  <c r="D47" i="4"/>
  <c r="D48" i="4"/>
  <c r="D49" i="4"/>
  <c r="D45" i="4"/>
  <c r="D50" i="4"/>
  <c r="G50" i="4"/>
  <c r="J50" i="4"/>
  <c r="J34" i="4"/>
  <c r="J39" i="4"/>
  <c r="J38" i="4"/>
  <c r="J37" i="4"/>
  <c r="J36" i="4"/>
  <c r="J35" i="4"/>
  <c r="G38" i="4"/>
  <c r="G37" i="4"/>
  <c r="G36" i="4"/>
  <c r="G35" i="4"/>
  <c r="G34" i="4"/>
  <c r="D35" i="4"/>
  <c r="D36" i="4"/>
  <c r="D37" i="4"/>
  <c r="D38" i="4"/>
  <c r="G39" i="4"/>
  <c r="D34" i="4"/>
  <c r="D39" i="4"/>
  <c r="J28" i="4"/>
  <c r="J24" i="4"/>
  <c r="J25" i="4"/>
  <c r="J26" i="4"/>
  <c r="J27" i="4"/>
  <c r="J23" i="4"/>
  <c r="G28" i="4"/>
  <c r="G24" i="4"/>
  <c r="G25" i="4"/>
  <c r="G26" i="4"/>
  <c r="G27" i="4"/>
  <c r="G23" i="4"/>
  <c r="D28" i="4"/>
  <c r="D24" i="4"/>
  <c r="D25" i="4"/>
  <c r="D26" i="4"/>
  <c r="D27" i="4"/>
  <c r="D23" i="4"/>
  <c r="H25" i="3"/>
  <c r="A29" i="3"/>
  <c r="B34" i="3" l="1"/>
  <c r="B35" i="3"/>
  <c r="B36" i="3"/>
  <c r="B32" i="3"/>
  <c r="B31" i="3"/>
  <c r="A31" i="3"/>
  <c r="B33" i="3"/>
  <c r="A34" i="3"/>
  <c r="A36" i="3"/>
  <c r="A33" i="3"/>
  <c r="A35" i="3"/>
  <c r="A32" i="3"/>
</calcChain>
</file>

<file path=xl/sharedStrings.xml><?xml version="1.0" encoding="utf-8"?>
<sst xmlns="http://schemas.openxmlformats.org/spreadsheetml/2006/main" count="150" uniqueCount="76">
  <si>
    <t>Income tax return</t>
  </si>
  <si>
    <t>Cost of sales/turnover</t>
  </si>
  <si>
    <t>Average cost of sales</t>
  </si>
  <si>
    <t>Average total expenses</t>
  </si>
  <si>
    <t>Cost of sales</t>
  </si>
  <si>
    <t>Turnover</t>
  </si>
  <si>
    <t>Total expenses</t>
  </si>
  <si>
    <t>Client Data</t>
  </si>
  <si>
    <t>Result</t>
  </si>
  <si>
    <t>Labour/turnover</t>
  </si>
  <si>
    <t>Rent/turnover</t>
  </si>
  <si>
    <t>Motor vehicle expenses/turnover</t>
  </si>
  <si>
    <t>Non-capital purchases</t>
  </si>
  <si>
    <t>© 2016 CCH Australia Limited</t>
  </si>
  <si>
    <t>Job details</t>
  </si>
  <si>
    <t>Client name</t>
  </si>
  <si>
    <t>Prepared by</t>
  </si>
  <si>
    <t>Client code</t>
  </si>
  <si>
    <t>Reviewed by</t>
  </si>
  <si>
    <t>Period start</t>
  </si>
  <si>
    <t>Period end</t>
  </si>
  <si>
    <t>Date</t>
  </si>
  <si>
    <t>Labour cost</t>
  </si>
  <si>
    <t>Rent</t>
  </si>
  <si>
    <t>Motor vehicle expenses</t>
  </si>
  <si>
    <t>Total sales</t>
  </si>
  <si>
    <t>!</t>
  </si>
  <si>
    <t>CCH Results</t>
  </si>
  <si>
    <t>Size</t>
  </si>
  <si>
    <t>Lower</t>
  </si>
  <si>
    <t>Upper</t>
  </si>
  <si>
    <t xml:space="preserve"> Annual turnover range</t>
  </si>
  <si>
    <t>Cost of sales: Turnover</t>
  </si>
  <si>
    <t>Total expenses:Turnover</t>
  </si>
  <si>
    <t>Coffee shops</t>
  </si>
  <si>
    <t>Labour: Turnover</t>
  </si>
  <si>
    <t>Rent:Turnover</t>
  </si>
  <si>
    <t>MV expenses:Turnover</t>
  </si>
  <si>
    <t>Non-capital purchases:Total sales</t>
  </si>
  <si>
    <t>Small</t>
  </si>
  <si>
    <t>Medium</t>
  </si>
  <si>
    <t>Large</t>
  </si>
  <si>
    <t>Benchmark ratio</t>
  </si>
  <si>
    <r>
      <t>CCH Results</t>
    </r>
    <r>
      <rPr>
        <sz val="11"/>
        <color theme="1"/>
        <rFont val="Calibri"/>
        <family val="2"/>
        <scheme val="minor"/>
      </rPr>
      <t xml:space="preserve"> compares the benchmark ratios based on your client's financial information to the ATO benchmarks for that industry.</t>
    </r>
  </si>
  <si>
    <t>Test data</t>
  </si>
  <si>
    <t>Motor vehicle</t>
  </si>
  <si>
    <t>Value</t>
  </si>
  <si>
    <t>Ratio</t>
  </si>
  <si>
    <t>Small - ratios under</t>
  </si>
  <si>
    <t>Small - ratios over</t>
  </si>
  <si>
    <t>Small - ratios acceptable</t>
  </si>
  <si>
    <t>Medium - ratios under</t>
  </si>
  <si>
    <t>Medium - ratios over</t>
  </si>
  <si>
    <t>Medium - ratios acceptable</t>
  </si>
  <si>
    <t>Large - ratios under</t>
  </si>
  <si>
    <t>Large - ratios over</t>
  </si>
  <si>
    <t>Large - ratios acceptable</t>
  </si>
  <si>
    <t>Low</t>
  </si>
  <si>
    <t>High</t>
  </si>
  <si>
    <t>Average</t>
  </si>
  <si>
    <r>
      <t xml:space="preserve">Caution: The benchmark levels here are linked from the </t>
    </r>
    <r>
      <rPr>
        <b/>
        <i/>
        <sz val="11"/>
        <color rgb="FFFF0000"/>
        <rFont val="Calibri"/>
        <family val="2"/>
        <scheme val="minor"/>
      </rPr>
      <t>Calculator</t>
    </r>
    <r>
      <rPr>
        <b/>
        <sz val="11"/>
        <color rgb="FFFF0000"/>
        <rFont val="Calibri"/>
        <family val="2"/>
        <scheme val="minor"/>
      </rPr>
      <t xml:space="preserve"> worksheet. Accordingly, the benchmarks should be updated on the </t>
    </r>
    <r>
      <rPr>
        <b/>
        <i/>
        <sz val="11"/>
        <color rgb="FFFF0000"/>
        <rFont val="Calibri"/>
        <family val="2"/>
        <scheme val="minor"/>
      </rPr>
      <t>Calculator</t>
    </r>
    <r>
      <rPr>
        <b/>
        <sz val="11"/>
        <color rgb="FFFF0000"/>
        <rFont val="Calibri"/>
        <family val="2"/>
        <scheme val="minor"/>
      </rPr>
      <t xml:space="preserve"> worksheet.</t>
    </r>
  </si>
  <si>
    <r>
      <t xml:space="preserve">To re-test the calculator based on updated benchmarks scenarios such as those below need to be entered manually on the </t>
    </r>
    <r>
      <rPr>
        <b/>
        <i/>
        <sz val="11"/>
        <color rgb="FFFF0000"/>
        <rFont val="Calibri"/>
        <family val="2"/>
        <scheme val="minor"/>
      </rPr>
      <t>Calculator</t>
    </r>
    <r>
      <rPr>
        <b/>
        <sz val="11"/>
        <color rgb="FFFF0000"/>
        <rFont val="Calibri"/>
        <family val="2"/>
        <scheme val="minor"/>
      </rPr>
      <t xml:space="preserve"> worksheet.</t>
    </r>
  </si>
  <si>
    <t>Activity statement</t>
  </si>
  <si>
    <t>Annual turnover</t>
  </si>
  <si>
    <t>Use this calculator to compare your client's key financial ratios to published ATO benchmarks as at 26 February 2016 based on data from the 2013/14 year of income for comparable businesses.</t>
  </si>
  <si>
    <r>
      <t xml:space="preserve">Enter key financial data from the income tax return and activity statement into the </t>
    </r>
    <r>
      <rPr>
        <b/>
        <sz val="11"/>
        <color theme="1"/>
        <rFont val="Calibri"/>
        <family val="2"/>
        <scheme val="minor"/>
      </rPr>
      <t>Client data</t>
    </r>
    <r>
      <rPr>
        <sz val="11"/>
        <color theme="1"/>
        <rFont val="Calibri"/>
        <family val="2"/>
        <scheme val="minor"/>
      </rPr>
      <t xml:space="preserve"> below.</t>
    </r>
  </si>
  <si>
    <t>Total expenses/turnover</t>
  </si>
  <si>
    <t>Non-capital purchases/total sales</t>
  </si>
  <si>
    <t>ATO benchmarks</t>
  </si>
  <si>
    <t>Cost of sales/Turnover</t>
  </si>
  <si>
    <t>Total expenses/Turnover</t>
  </si>
  <si>
    <t>Labour/Turnover</t>
  </si>
  <si>
    <t>Rent/Turnover</t>
  </si>
  <si>
    <t>MV expenses/Turnover</t>
  </si>
  <si>
    <t>Non-capital purchases/Total sales</t>
  </si>
  <si>
    <r>
      <t xml:space="preserve">Calculator: ATO benchmarks  </t>
    </r>
    <r>
      <rPr>
        <b/>
        <sz val="14"/>
        <color theme="0"/>
        <rFont val="Calibri"/>
        <family val="2"/>
      </rPr>
      <t xml:space="preserve">̶ </t>
    </r>
    <r>
      <rPr>
        <b/>
        <sz val="14"/>
        <color theme="0"/>
        <rFont val="Trebuchet MS"/>
        <family val="2"/>
      </rPr>
      <t xml:space="preserve"> electrical services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</si>
</sst>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[$-C09]d\ mmm\ yy;@"/>
    <numFmt numFmtId="165" formatCode="_-&quot;$&quot;* #,##0_-;\-&quot;$&quot;* #,##0_-;_-&quot;$&quot;* &quot;-&quot;??_-;_-@_-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Trebuchet MS"/>
      <family val="2"/>
    </font>
    <font>
      <sz val="8"/>
      <color theme="0"/>
      <name val="Calibri"/>
      <family val="2"/>
    </font>
    <font>
      <b/>
      <sz val="11"/>
      <name val="Calibri"/>
      <family val="2"/>
      <scheme val="minor"/>
    </font>
    <font>
      <sz val="11"/>
      <color theme="1"/>
      <name val="Wingdings"/>
      <charset val="2"/>
    </font>
    <font>
      <sz val="14"/>
      <color theme="1"/>
      <name val="Wingdings"/>
      <charset val="2"/>
    </font>
    <font>
      <sz val="14"/>
      <color rgb="FF529328"/>
      <name val="Wingdings"/>
      <charset val="2"/>
    </font>
    <font>
      <sz val="11"/>
      <color rgb="FF529328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0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529328"/>
        <bgColor indexed="64"/>
      </patternFill>
    </fill>
    <fill>
      <patternFill patternType="solid">
        <fgColor rgb="FFBDE199"/>
        <bgColor indexed="64"/>
      </patternFill>
    </fill>
    <fill>
      <patternFill patternType="solid">
        <fgColor rgb="FFDEF5C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1">
    <border>
      <left/>
      <right/>
      <top/>
      <bottom/>
      <diagonal/>
    </border>
    <border>
      <left style="medium">
        <color rgb="FF529328"/>
      </left>
      <right/>
      <top style="medium">
        <color rgb="FF529328"/>
      </top>
      <bottom/>
      <diagonal/>
    </border>
    <border>
      <left/>
      <right/>
      <top style="medium">
        <color rgb="FF529328"/>
      </top>
      <bottom/>
      <diagonal/>
    </border>
    <border>
      <left/>
      <right style="medium">
        <color rgb="FF529328"/>
      </right>
      <top style="medium">
        <color rgb="FF529328"/>
      </top>
      <bottom/>
      <diagonal/>
    </border>
    <border>
      <left style="medium">
        <color rgb="FF529328"/>
      </left>
      <right/>
      <top/>
      <bottom/>
      <diagonal/>
    </border>
    <border>
      <left/>
      <right style="medium">
        <color rgb="FF529328"/>
      </right>
      <top/>
      <bottom/>
      <diagonal/>
    </border>
    <border>
      <left style="medium">
        <color rgb="FF529328"/>
      </left>
      <right/>
      <top style="thin">
        <color rgb="FF529328"/>
      </top>
      <bottom style="thin">
        <color rgb="FF529328"/>
      </bottom>
      <diagonal/>
    </border>
    <border>
      <left/>
      <right/>
      <top style="thin">
        <color rgb="FF529328"/>
      </top>
      <bottom style="thin">
        <color rgb="FF529328"/>
      </bottom>
      <diagonal/>
    </border>
    <border>
      <left/>
      <right style="medium">
        <color rgb="FF529328"/>
      </right>
      <top style="thin">
        <color rgb="FF529328"/>
      </top>
      <bottom style="thin">
        <color rgb="FF529328"/>
      </bottom>
      <diagonal/>
    </border>
    <border>
      <left style="medium">
        <color rgb="FF529328"/>
      </left>
      <right/>
      <top style="thin">
        <color rgb="FF529328"/>
      </top>
      <bottom style="medium">
        <color rgb="FF529328"/>
      </bottom>
      <diagonal/>
    </border>
    <border>
      <left/>
      <right/>
      <top style="thin">
        <color rgb="FF529328"/>
      </top>
      <bottom style="medium">
        <color rgb="FF529328"/>
      </bottom>
      <diagonal/>
    </border>
    <border>
      <left/>
      <right style="medium">
        <color rgb="FF529328"/>
      </right>
      <top style="thin">
        <color rgb="FF529328"/>
      </top>
      <bottom style="medium">
        <color rgb="FF529328"/>
      </bottom>
      <diagonal/>
    </border>
    <border>
      <left style="thin">
        <color rgb="FF529328"/>
      </left>
      <right/>
      <top style="thin">
        <color rgb="FF529328"/>
      </top>
      <bottom style="thin">
        <color rgb="FF529328"/>
      </bottom>
      <diagonal/>
    </border>
    <border>
      <left/>
      <right style="thin">
        <color rgb="FF529328"/>
      </right>
      <top style="thin">
        <color rgb="FF529328"/>
      </top>
      <bottom style="thin">
        <color rgb="FF529328"/>
      </bottom>
      <diagonal/>
    </border>
    <border>
      <left style="thin">
        <color rgb="FF529328"/>
      </left>
      <right/>
      <top style="thin">
        <color rgb="FF529328"/>
      </top>
      <bottom style="hair">
        <color rgb="FF529328"/>
      </bottom>
      <diagonal/>
    </border>
    <border>
      <left/>
      <right/>
      <top style="thin">
        <color rgb="FF529328"/>
      </top>
      <bottom style="hair">
        <color rgb="FF529328"/>
      </bottom>
      <diagonal/>
    </border>
    <border>
      <left style="thin">
        <color rgb="FF529328"/>
      </left>
      <right/>
      <top style="hair">
        <color rgb="FF529328"/>
      </top>
      <bottom style="hair">
        <color rgb="FF529328"/>
      </bottom>
      <diagonal/>
    </border>
    <border>
      <left/>
      <right/>
      <top style="hair">
        <color rgb="FF529328"/>
      </top>
      <bottom style="hair">
        <color rgb="FF529328"/>
      </bottom>
      <diagonal/>
    </border>
    <border>
      <left style="hair">
        <color rgb="FF529328"/>
      </left>
      <right style="thin">
        <color rgb="FF529328"/>
      </right>
      <top style="hair">
        <color rgb="FF529328"/>
      </top>
      <bottom style="hair">
        <color rgb="FF529328"/>
      </bottom>
      <diagonal/>
    </border>
    <border>
      <left style="thin">
        <color rgb="FF529328"/>
      </left>
      <right/>
      <top/>
      <bottom style="thin">
        <color rgb="FF529328"/>
      </bottom>
      <diagonal/>
    </border>
    <border>
      <left/>
      <right/>
      <top/>
      <bottom style="thin">
        <color rgb="FF529328"/>
      </bottom>
      <diagonal/>
    </border>
    <border>
      <left style="thin">
        <color rgb="FF529328"/>
      </left>
      <right/>
      <top/>
      <bottom/>
      <diagonal/>
    </border>
    <border>
      <left/>
      <right style="thin">
        <color rgb="FF529328"/>
      </right>
      <top/>
      <bottom style="thin">
        <color rgb="FF529328"/>
      </bottom>
      <diagonal/>
    </border>
    <border>
      <left style="thin">
        <color rgb="FF529328"/>
      </left>
      <right/>
      <top style="hair">
        <color rgb="FF529328"/>
      </top>
      <bottom style="thin">
        <color rgb="FF529328"/>
      </bottom>
      <diagonal/>
    </border>
    <border>
      <left/>
      <right/>
      <top style="hair">
        <color rgb="FF529328"/>
      </top>
      <bottom style="thin">
        <color rgb="FF529328"/>
      </bottom>
      <diagonal/>
    </border>
    <border>
      <left style="hair">
        <color rgb="FF529328"/>
      </left>
      <right style="thin">
        <color rgb="FF529328"/>
      </right>
      <top style="thin">
        <color rgb="FF529328"/>
      </top>
      <bottom style="hair">
        <color rgb="FF529328"/>
      </bottom>
      <diagonal/>
    </border>
    <border>
      <left style="hair">
        <color rgb="FF529328"/>
      </left>
      <right style="thin">
        <color rgb="FF529328"/>
      </right>
      <top style="hair">
        <color rgb="FF529328"/>
      </top>
      <bottom style="thin">
        <color rgb="FF529328"/>
      </bottom>
      <diagonal/>
    </border>
    <border>
      <left/>
      <right style="thin">
        <color rgb="FF529328"/>
      </right>
      <top style="hair">
        <color rgb="FF529328"/>
      </top>
      <bottom style="thin">
        <color rgb="FF529328"/>
      </bottom>
      <diagonal/>
    </border>
    <border>
      <left style="thin">
        <color rgb="FF529328"/>
      </left>
      <right/>
      <top style="thin">
        <color rgb="FF529328"/>
      </top>
      <bottom style="thin">
        <color theme="0"/>
      </bottom>
      <diagonal/>
    </border>
    <border>
      <left/>
      <right/>
      <top style="thin">
        <color rgb="FF529328"/>
      </top>
      <bottom style="thin">
        <color theme="0"/>
      </bottom>
      <diagonal/>
    </border>
    <border>
      <left style="thin">
        <color rgb="FF529328"/>
      </left>
      <right/>
      <top style="thin">
        <color rgb="FF529328"/>
      </top>
      <bottom/>
      <diagonal/>
    </border>
    <border>
      <left/>
      <right/>
      <top style="thin">
        <color rgb="FF529328"/>
      </top>
      <bottom/>
      <diagonal/>
    </border>
    <border>
      <left/>
      <right style="thin">
        <color rgb="FF529328"/>
      </right>
      <top style="thin">
        <color rgb="FF529328"/>
      </top>
      <bottom/>
      <diagonal/>
    </border>
    <border>
      <left/>
      <right style="thin">
        <color rgb="FF529328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529328"/>
      </left>
      <right/>
      <top/>
      <bottom style="hair">
        <color rgb="FF529328"/>
      </bottom>
      <diagonal/>
    </border>
    <border>
      <left/>
      <right/>
      <top/>
      <bottom style="hair">
        <color rgb="FF529328"/>
      </bottom>
      <diagonal/>
    </border>
    <border>
      <left style="thin">
        <color theme="0"/>
      </left>
      <right/>
      <top style="thin">
        <color rgb="FF529328"/>
      </top>
      <bottom style="thin">
        <color theme="0"/>
      </bottom>
      <diagonal/>
    </border>
    <border>
      <left/>
      <right style="thin">
        <color rgb="FF529328"/>
      </right>
      <top style="thin">
        <color rgb="FF529328"/>
      </top>
      <bottom style="thin">
        <color theme="0"/>
      </bottom>
      <diagonal/>
    </border>
    <border>
      <left style="thin">
        <color rgb="FF529328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rgb="FF529328"/>
      </right>
      <top style="thin">
        <color theme="0"/>
      </top>
      <bottom/>
      <diagonal/>
    </border>
    <border>
      <left/>
      <right style="hair">
        <color rgb="FF529328"/>
      </right>
      <top style="hair">
        <color rgb="FF529328"/>
      </top>
      <bottom style="hair">
        <color rgb="FF529328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529328"/>
      </left>
      <right style="hair">
        <color rgb="FF529328"/>
      </right>
      <top/>
      <bottom style="thin">
        <color rgb="FF529328"/>
      </bottom>
      <diagonal/>
    </border>
    <border>
      <left style="hair">
        <color rgb="FF529328"/>
      </left>
      <right style="thin">
        <color rgb="FF529328"/>
      </right>
      <top/>
      <bottom style="thin">
        <color rgb="FF529328"/>
      </bottom>
      <diagonal/>
    </border>
    <border>
      <left style="thin">
        <color rgb="FF529328"/>
      </left>
      <right style="hair">
        <color rgb="FF529328"/>
      </right>
      <top/>
      <bottom style="hair">
        <color rgb="FF529328"/>
      </bottom>
      <diagonal/>
    </border>
    <border>
      <left/>
      <right style="thin">
        <color rgb="FF529328"/>
      </right>
      <top/>
      <bottom style="hair">
        <color rgb="FF529328"/>
      </bottom>
      <diagonal/>
    </border>
    <border>
      <left style="thin">
        <color rgb="FF529328"/>
      </left>
      <right style="hair">
        <color rgb="FF529328"/>
      </right>
      <top style="hair">
        <color rgb="FF529328"/>
      </top>
      <bottom style="hair">
        <color rgb="FF529328"/>
      </bottom>
      <diagonal/>
    </border>
    <border>
      <left style="thin">
        <color theme="0"/>
      </left>
      <right/>
      <top style="thin">
        <color rgb="FF529328"/>
      </top>
      <bottom/>
      <diagonal/>
    </border>
    <border>
      <left/>
      <right style="thin">
        <color theme="0"/>
      </right>
      <top style="thin">
        <color rgb="FF529328"/>
      </top>
      <bottom/>
      <diagonal/>
    </border>
    <border>
      <left style="thin">
        <color rgb="FFDE0000"/>
      </left>
      <right/>
      <top style="thin">
        <color rgb="FFDE0000"/>
      </top>
      <bottom/>
      <diagonal/>
    </border>
    <border>
      <left/>
      <right/>
      <top style="thin">
        <color rgb="FFDE0000"/>
      </top>
      <bottom/>
      <diagonal/>
    </border>
    <border>
      <left/>
      <right style="thin">
        <color rgb="FFDE0000"/>
      </right>
      <top style="thin">
        <color rgb="FFDE0000"/>
      </top>
      <bottom/>
      <diagonal/>
    </border>
    <border>
      <left style="thin">
        <color rgb="FFDE0000"/>
      </left>
      <right/>
      <top/>
      <bottom style="thin">
        <color rgb="FFDE0000"/>
      </bottom>
      <diagonal/>
    </border>
    <border>
      <left/>
      <right/>
      <top/>
      <bottom style="thin">
        <color rgb="FFDE0000"/>
      </bottom>
      <diagonal/>
    </border>
    <border>
      <left/>
      <right style="thin">
        <color rgb="FFDE0000"/>
      </right>
      <top/>
      <bottom style="thin">
        <color rgb="FFDE000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hair">
        <color theme="0"/>
      </right>
      <top/>
      <bottom/>
      <diagonal/>
    </border>
    <border>
      <left style="thin">
        <color rgb="FF529328"/>
      </left>
      <right/>
      <top/>
      <bottom style="thin">
        <color theme="0"/>
      </bottom>
      <diagonal/>
    </border>
    <border>
      <left style="thin">
        <color rgb="FF529328"/>
      </left>
      <right style="hair">
        <color rgb="FF529328"/>
      </right>
      <top style="thin">
        <color theme="0"/>
      </top>
      <bottom style="thin">
        <color rgb="FF529328"/>
      </bottom>
      <diagonal/>
    </border>
    <border>
      <left style="hair">
        <color rgb="FF529328"/>
      </left>
      <right style="thin">
        <color rgb="FF529328"/>
      </right>
      <top style="thin">
        <color theme="0"/>
      </top>
      <bottom style="thin">
        <color rgb="FF529328"/>
      </bottom>
      <diagonal/>
    </border>
    <border>
      <left/>
      <right style="thin">
        <color theme="0"/>
      </right>
      <top style="thin">
        <color rgb="FF529328"/>
      </top>
      <bottom style="thin">
        <color theme="0"/>
      </bottom>
      <diagonal/>
    </border>
    <border>
      <left style="hair">
        <color rgb="FF529328"/>
      </left>
      <right/>
      <top style="hair">
        <color rgb="FF529328"/>
      </top>
      <bottom style="thin">
        <color rgb="FF529328"/>
      </bottom>
      <diagonal/>
    </border>
    <border>
      <left style="thin">
        <color rgb="FF529328"/>
      </left>
      <right style="hair">
        <color rgb="FF529328"/>
      </right>
      <top style="hair">
        <color rgb="FF529328"/>
      </top>
      <bottom style="thin">
        <color rgb="FF529328"/>
      </bottom>
      <diagonal/>
    </border>
    <border>
      <left style="hair">
        <color rgb="FF529328"/>
      </left>
      <right/>
      <top/>
      <bottom style="hair">
        <color rgb="FF529328"/>
      </bottom>
      <diagonal/>
    </border>
    <border>
      <left style="hair">
        <color theme="0"/>
      </left>
      <right style="thin">
        <color theme="0"/>
      </right>
      <top/>
      <bottom/>
      <diagonal/>
    </border>
    <border>
      <left style="hair">
        <color theme="0"/>
      </left>
      <right style="thin">
        <color rgb="FF529328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529328"/>
      </right>
      <top/>
      <bottom style="thin">
        <color theme="0"/>
      </bottom>
      <diagonal/>
    </border>
    <border>
      <left style="thin">
        <color rgb="FF529328"/>
      </left>
      <right/>
      <top style="thin">
        <color theme="0"/>
      </top>
      <bottom style="hair">
        <color rgb="FF529328"/>
      </bottom>
      <diagonal/>
    </border>
    <border>
      <left/>
      <right/>
      <top style="thin">
        <color theme="0"/>
      </top>
      <bottom style="hair">
        <color rgb="FF529328"/>
      </bottom>
      <diagonal/>
    </border>
    <border>
      <left/>
      <right style="thin">
        <color rgb="FF529328"/>
      </right>
      <top style="thin">
        <color theme="0"/>
      </top>
      <bottom style="hair">
        <color rgb="FF529328"/>
      </bottom>
      <diagonal/>
    </border>
    <border>
      <left style="hair">
        <color rgb="FF529328"/>
      </left>
      <right/>
      <top style="thin">
        <color rgb="FF529328"/>
      </top>
      <bottom style="thin">
        <color rgb="FF529328"/>
      </bottom>
      <diagonal/>
    </border>
    <border>
      <left style="thin">
        <color rgb="FF529328"/>
      </left>
      <right style="hair">
        <color rgb="FF529328"/>
      </right>
      <top style="thin">
        <color rgb="FF529328"/>
      </top>
      <bottom style="thin">
        <color rgb="FF529328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529328"/>
      </right>
      <top style="thin">
        <color rgb="FF529328"/>
      </top>
      <bottom style="hair">
        <color rgb="FF52932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1">
    <xf numFmtId="0" fontId="0" fillId="0" borderId="0" xfId="0"/>
    <xf numFmtId="0" fontId="0" fillId="0" borderId="0" xfId="0" applyFill="1" applyBorder="1"/>
    <xf numFmtId="0" fontId="4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3" fillId="3" borderId="4" xfId="0" applyFont="1" applyFill="1" applyBorder="1"/>
    <xf numFmtId="0" fontId="0" fillId="3" borderId="0" xfId="0" applyFill="1" applyBorder="1"/>
    <xf numFmtId="0" fontId="0" fillId="3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9" xfId="0" applyFill="1" applyBorder="1"/>
    <xf numFmtId="164" fontId="0" fillId="0" borderId="10" xfId="0" applyNumberFormat="1" applyFill="1" applyBorder="1" applyProtection="1">
      <protection locked="0"/>
    </xf>
    <xf numFmtId="0" fontId="0" fillId="4" borderId="10" xfId="0" applyFill="1" applyBorder="1"/>
    <xf numFmtId="164" fontId="0" fillId="0" borderId="10" xfId="0" applyNumberFormat="1" applyFill="1" applyBorder="1" applyAlignment="1" applyProtection="1">
      <alignment horizontal="left"/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4" borderId="16" xfId="0" applyFill="1" applyBorder="1" applyProtection="1"/>
    <xf numFmtId="0" fontId="0" fillId="4" borderId="17" xfId="0" applyFill="1" applyBorder="1" applyAlignment="1" applyProtection="1"/>
    <xf numFmtId="0" fontId="2" fillId="2" borderId="7" xfId="0" applyFont="1" applyFill="1" applyBorder="1" applyAlignment="1">
      <alignment vertical="center" wrapText="1"/>
    </xf>
    <xf numFmtId="0" fontId="0" fillId="4" borderId="14" xfId="0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165" fontId="0" fillId="0" borderId="25" xfId="1" applyNumberFormat="1" applyFont="1" applyBorder="1" applyAlignment="1" applyProtection="1">
      <protection locked="0"/>
    </xf>
    <xf numFmtId="165" fontId="0" fillId="0" borderId="18" xfId="1" applyNumberFormat="1" applyFont="1" applyBorder="1" applyAlignment="1" applyProtection="1">
      <protection locked="0"/>
    </xf>
    <xf numFmtId="165" fontId="0" fillId="0" borderId="18" xfId="1" applyNumberFormat="1" applyFont="1" applyFill="1" applyBorder="1" applyAlignment="1" applyProtection="1">
      <protection locked="0"/>
    </xf>
    <xf numFmtId="165" fontId="2" fillId="2" borderId="13" xfId="1" applyNumberFormat="1" applyFont="1" applyFill="1" applyBorder="1" applyAlignment="1">
      <alignment vertical="center" wrapText="1"/>
    </xf>
    <xf numFmtId="165" fontId="0" fillId="0" borderId="26" xfId="1" applyNumberFormat="1" applyFont="1" applyBorder="1" applyAlignment="1" applyProtection="1">
      <protection locked="0"/>
    </xf>
    <xf numFmtId="0" fontId="2" fillId="2" borderId="20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Continuous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0" fillId="0" borderId="0" xfId="0" applyBorder="1"/>
    <xf numFmtId="0" fontId="10" fillId="2" borderId="31" xfId="0" applyFont="1" applyFill="1" applyBorder="1"/>
    <xf numFmtId="0" fontId="10" fillId="2" borderId="32" xfId="0" applyFont="1" applyFill="1" applyBorder="1"/>
    <xf numFmtId="0" fontId="2" fillId="2" borderId="30" xfId="0" applyFont="1" applyFill="1" applyBorder="1"/>
    <xf numFmtId="0" fontId="0" fillId="0" borderId="0" xfId="0" applyAlignment="1">
      <alignment wrapText="1"/>
    </xf>
    <xf numFmtId="9" fontId="0" fillId="0" borderId="35" xfId="2" applyFont="1" applyBorder="1"/>
    <xf numFmtId="9" fontId="0" fillId="0" borderId="35" xfId="2" applyNumberFormat="1" applyFont="1" applyBorder="1"/>
    <xf numFmtId="0" fontId="0" fillId="0" borderId="37" xfId="0" applyBorder="1"/>
    <xf numFmtId="0" fontId="3" fillId="0" borderId="0" xfId="0" applyFont="1"/>
    <xf numFmtId="0" fontId="0" fillId="0" borderId="40" xfId="0" applyBorder="1"/>
    <xf numFmtId="9" fontId="0" fillId="0" borderId="40" xfId="2" applyNumberFormat="1" applyFont="1" applyBorder="1"/>
    <xf numFmtId="0" fontId="0" fillId="0" borderId="4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9" fontId="0" fillId="0" borderId="46" xfId="2" applyNumberFormat="1" applyFont="1" applyBorder="1"/>
    <xf numFmtId="0" fontId="0" fillId="0" borderId="44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9" fontId="0" fillId="0" borderId="36" xfId="2" applyFont="1" applyBorder="1"/>
    <xf numFmtId="165" fontId="0" fillId="0" borderId="34" xfId="1" applyNumberFormat="1" applyFont="1" applyBorder="1"/>
    <xf numFmtId="165" fontId="0" fillId="0" borderId="35" xfId="1" applyNumberFormat="1" applyFont="1" applyBorder="1"/>
    <xf numFmtId="165" fontId="0" fillId="0" borderId="36" xfId="1" applyNumberFormat="1" applyFont="1" applyBorder="1"/>
    <xf numFmtId="0" fontId="0" fillId="0" borderId="47" xfId="0" applyBorder="1"/>
    <xf numFmtId="165" fontId="0" fillId="0" borderId="48" xfId="1" applyNumberFormat="1" applyFont="1" applyBorder="1"/>
    <xf numFmtId="165" fontId="0" fillId="0" borderId="49" xfId="1" applyNumberFormat="1" applyFont="1" applyBorder="1"/>
    <xf numFmtId="165" fontId="0" fillId="0" borderId="50" xfId="1" applyNumberFormat="1" applyFont="1" applyBorder="1"/>
    <xf numFmtId="9" fontId="0" fillId="0" borderId="49" xfId="2" applyNumberFormat="1" applyFont="1" applyBorder="1"/>
    <xf numFmtId="9" fontId="0" fillId="0" borderId="49" xfId="2" applyFont="1" applyBorder="1"/>
    <xf numFmtId="9" fontId="0" fillId="0" borderId="50" xfId="2" applyFont="1" applyBorder="1"/>
    <xf numFmtId="9" fontId="0" fillId="0" borderId="48" xfId="2" applyNumberFormat="1" applyFont="1" applyBorder="1"/>
    <xf numFmtId="0" fontId="0" fillId="0" borderId="45" xfId="0" applyBorder="1" applyAlignment="1">
      <alignment vertical="center" wrapText="1"/>
    </xf>
    <xf numFmtId="0" fontId="0" fillId="4" borderId="23" xfId="0" applyFill="1" applyBorder="1" applyAlignment="1" applyProtection="1">
      <alignment vertical="center"/>
    </xf>
    <xf numFmtId="0" fontId="2" fillId="2" borderId="53" xfId="0" applyFont="1" applyFill="1" applyBorder="1"/>
    <xf numFmtId="0" fontId="2" fillId="2" borderId="29" xfId="0" applyFont="1" applyFill="1" applyBorder="1"/>
    <xf numFmtId="0" fontId="2" fillId="2" borderId="54" xfId="0" applyFont="1" applyFill="1" applyBorder="1"/>
    <xf numFmtId="0" fontId="2" fillId="2" borderId="19" xfId="0" applyFont="1" applyFill="1" applyBorder="1" applyAlignment="1">
      <alignment vertical="center"/>
    </xf>
    <xf numFmtId="0" fontId="0" fillId="2" borderId="55" xfId="0" applyFill="1" applyBorder="1"/>
    <xf numFmtId="0" fontId="0" fillId="2" borderId="56" xfId="0" applyFill="1" applyBorder="1"/>
    <xf numFmtId="0" fontId="0" fillId="2" borderId="57" xfId="0" applyFill="1" applyBorder="1"/>
    <xf numFmtId="0" fontId="0" fillId="4" borderId="16" xfId="0" applyFill="1" applyBorder="1" applyAlignment="1" applyProtection="1"/>
    <xf numFmtId="0" fontId="0" fillId="4" borderId="15" xfId="0" applyFill="1" applyBorder="1" applyAlignment="1"/>
    <xf numFmtId="0" fontId="0" fillId="4" borderId="24" xfId="0" applyFill="1" applyBorder="1" applyAlignment="1"/>
    <xf numFmtId="0" fontId="0" fillId="4" borderId="52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51" xfId="0" applyFill="1" applyBorder="1" applyAlignment="1"/>
    <xf numFmtId="0" fontId="0" fillId="4" borderId="27" xfId="0" applyFill="1" applyBorder="1"/>
    <xf numFmtId="0" fontId="0" fillId="2" borderId="12" xfId="0" applyFill="1" applyBorder="1"/>
    <xf numFmtId="0" fontId="0" fillId="2" borderId="7" xfId="0" applyFill="1" applyBorder="1"/>
    <xf numFmtId="0" fontId="0" fillId="4" borderId="14" xfId="0" applyFill="1" applyBorder="1"/>
    <xf numFmtId="0" fontId="0" fillId="4" borderId="15" xfId="0" applyFill="1" applyBorder="1"/>
    <xf numFmtId="0" fontId="7" fillId="0" borderId="0" xfId="0" applyFont="1"/>
    <xf numFmtId="0" fontId="0" fillId="0" borderId="0" xfId="0" quotePrefix="1"/>
    <xf numFmtId="0" fontId="0" fillId="2" borderId="32" xfId="0" applyFill="1" applyBorder="1"/>
    <xf numFmtId="0" fontId="3" fillId="0" borderId="63" xfId="0" applyFont="1" applyBorder="1" applyAlignment="1">
      <alignment horizontal="centerContinuous"/>
    </xf>
    <xf numFmtId="0" fontId="3" fillId="0" borderId="47" xfId="0" applyFont="1" applyBorder="1" applyAlignment="1">
      <alignment horizontal="centerContinuous"/>
    </xf>
    <xf numFmtId="0" fontId="0" fillId="0" borderId="44" xfId="0" applyBorder="1"/>
    <xf numFmtId="0" fontId="3" fillId="0" borderId="64" xfId="0" applyFont="1" applyBorder="1" applyAlignment="1">
      <alignment horizontal="centerContinuous"/>
    </xf>
    <xf numFmtId="0" fontId="0" fillId="0" borderId="67" xfId="0" applyBorder="1"/>
    <xf numFmtId="0" fontId="0" fillId="0" borderId="45" xfId="0" applyBorder="1"/>
    <xf numFmtId="0" fontId="3" fillId="0" borderId="66" xfId="0" applyFont="1" applyBorder="1"/>
    <xf numFmtId="0" fontId="3" fillId="0" borderId="61" xfId="0" applyFont="1" applyBorder="1"/>
    <xf numFmtId="0" fontId="3" fillId="0" borderId="62" xfId="0" applyFont="1" applyBorder="1"/>
    <xf numFmtId="9" fontId="0" fillId="6" borderId="59" xfId="2" applyFont="1" applyFill="1" applyBorder="1"/>
    <xf numFmtId="0" fontId="0" fillId="6" borderId="60" xfId="0" applyFill="1" applyBorder="1"/>
    <xf numFmtId="9" fontId="0" fillId="6" borderId="61" xfId="2" applyFont="1" applyFill="1" applyBorder="1"/>
    <xf numFmtId="0" fontId="0" fillId="6" borderId="62" xfId="0" applyFill="1" applyBorder="1"/>
    <xf numFmtId="0" fontId="11" fillId="0" borderId="0" xfId="0" applyFont="1"/>
    <xf numFmtId="9" fontId="0" fillId="5" borderId="46" xfId="2" applyNumberFormat="1" applyFont="1" applyFill="1" applyBorder="1"/>
    <xf numFmtId="9" fontId="0" fillId="5" borderId="35" xfId="2" applyFont="1" applyFill="1" applyBorder="1"/>
    <xf numFmtId="9" fontId="0" fillId="5" borderId="36" xfId="2" applyFont="1" applyFill="1" applyBorder="1"/>
    <xf numFmtId="166" fontId="0" fillId="0" borderId="59" xfId="2" applyNumberFormat="1" applyFont="1" applyBorder="1"/>
    <xf numFmtId="0" fontId="2" fillId="2" borderId="28" xfId="0" applyFont="1" applyFill="1" applyBorder="1"/>
    <xf numFmtId="165" fontId="0" fillId="4" borderId="68" xfId="1" applyNumberFormat="1" applyFont="1" applyFill="1" applyBorder="1"/>
    <xf numFmtId="165" fontId="0" fillId="4" borderId="69" xfId="1" applyNumberFormat="1" applyFont="1" applyFill="1" applyBorder="1"/>
    <xf numFmtId="9" fontId="0" fillId="4" borderId="52" xfId="2" applyNumberFormat="1" applyFont="1" applyFill="1" applyBorder="1" applyAlignment="1">
      <alignment horizontal="center" vertical="center"/>
    </xf>
    <xf numFmtId="9" fontId="0" fillId="4" borderId="72" xfId="2" applyFont="1" applyFill="1" applyBorder="1" applyAlignment="1">
      <alignment horizontal="center" vertical="center"/>
    </xf>
    <xf numFmtId="0" fontId="13" fillId="0" borderId="0" xfId="0" applyFont="1"/>
    <xf numFmtId="44" fontId="0" fillId="0" borderId="0" xfId="1" applyFont="1" applyBorder="1"/>
    <xf numFmtId="0" fontId="0" fillId="2" borderId="0" xfId="0" applyFill="1" applyBorder="1"/>
    <xf numFmtId="0" fontId="0" fillId="2" borderId="81" xfId="0" applyFill="1" applyBorder="1"/>
    <xf numFmtId="165" fontId="0" fillId="4" borderId="84" xfId="1" applyNumberFormat="1" applyFont="1" applyFill="1" applyBorder="1"/>
    <xf numFmtId="165" fontId="0" fillId="4" borderId="85" xfId="1" applyNumberFormat="1" applyFont="1" applyFill="1" applyBorder="1"/>
    <xf numFmtId="0" fontId="0" fillId="2" borderId="29" xfId="0" applyFill="1" applyBorder="1"/>
    <xf numFmtId="0" fontId="2" fillId="2" borderId="53" xfId="0" applyFont="1" applyFill="1" applyBorder="1" applyAlignment="1">
      <alignment horizontal="centerContinuous" vertical="center"/>
    </xf>
    <xf numFmtId="0" fontId="0" fillId="2" borderId="86" xfId="0" applyFill="1" applyBorder="1" applyAlignment="1">
      <alignment horizontal="centerContinuous" vertical="center"/>
    </xf>
    <xf numFmtId="0" fontId="0" fillId="2" borderId="54" xfId="0" applyFill="1" applyBorder="1" applyAlignment="1">
      <alignment horizontal="centerContinuous" vertical="center"/>
    </xf>
    <xf numFmtId="0" fontId="2" fillId="2" borderId="83" xfId="0" applyFont="1" applyFill="1" applyBorder="1"/>
    <xf numFmtId="9" fontId="0" fillId="4" borderId="51" xfId="2" applyNumberFormat="1" applyFont="1" applyFill="1" applyBorder="1" applyAlignment="1">
      <alignment horizontal="center" vertical="center"/>
    </xf>
    <xf numFmtId="9" fontId="0" fillId="4" borderId="70" xfId="2" applyFont="1" applyFill="1" applyBorder="1" applyAlignment="1">
      <alignment horizontal="center" vertical="center"/>
    </xf>
    <xf numFmtId="9" fontId="0" fillId="4" borderId="24" xfId="2" applyNumberFormat="1" applyFont="1" applyFill="1" applyBorder="1" applyAlignment="1">
      <alignment horizontal="centerContinuous" vertical="center"/>
    </xf>
    <xf numFmtId="0" fontId="0" fillId="4" borderId="87" xfId="0" applyFill="1" applyBorder="1" applyAlignment="1">
      <alignment horizontal="centerContinuous"/>
    </xf>
    <xf numFmtId="9" fontId="0" fillId="4" borderId="88" xfId="2" applyFont="1" applyFill="1" applyBorder="1" applyAlignment="1">
      <alignment horizontal="centerContinuous" vertical="center"/>
    </xf>
    <xf numFmtId="0" fontId="0" fillId="4" borderId="27" xfId="0" applyFill="1" applyBorder="1" applyAlignment="1">
      <alignment horizontal="centerContinuous"/>
    </xf>
    <xf numFmtId="9" fontId="0" fillId="4" borderId="89" xfId="2" applyFont="1" applyFill="1" applyBorder="1" applyAlignment="1">
      <alignment horizontal="center"/>
    </xf>
    <xf numFmtId="9" fontId="0" fillId="4" borderId="71" xfId="2" applyFont="1" applyFill="1" applyBorder="1" applyAlignment="1">
      <alignment horizontal="center"/>
    </xf>
    <xf numFmtId="0" fontId="2" fillId="2" borderId="82" xfId="0" applyFont="1" applyFill="1" applyBorder="1" applyAlignment="1">
      <alignment horizontal="center"/>
    </xf>
    <xf numFmtId="0" fontId="2" fillId="2" borderId="90" xfId="0" applyFont="1" applyFill="1" applyBorder="1" applyAlignment="1">
      <alignment horizontal="center"/>
    </xf>
    <xf numFmtId="0" fontId="2" fillId="2" borderId="91" xfId="0" applyFont="1" applyFill="1" applyBorder="1" applyAlignment="1">
      <alignment horizontal="center"/>
    </xf>
    <xf numFmtId="0" fontId="0" fillId="2" borderId="92" xfId="0" applyFill="1" applyBorder="1"/>
    <xf numFmtId="0" fontId="0" fillId="2" borderId="93" xfId="0" applyFill="1" applyBorder="1"/>
    <xf numFmtId="165" fontId="0" fillId="2" borderId="30" xfId="1" applyNumberFormat="1" applyFont="1" applyFill="1" applyBorder="1"/>
    <xf numFmtId="165" fontId="0" fillId="2" borderId="31" xfId="1" applyNumberFormat="1" applyFont="1" applyFill="1" applyBorder="1"/>
    <xf numFmtId="165" fontId="0" fillId="2" borderId="32" xfId="1" applyNumberFormat="1" applyFont="1" applyFill="1" applyBorder="1"/>
    <xf numFmtId="165" fontId="0" fillId="2" borderId="73" xfId="1" applyNumberFormat="1" applyFont="1" applyFill="1" applyBorder="1"/>
    <xf numFmtId="165" fontId="0" fillId="2" borderId="74" xfId="1" applyNumberFormat="1" applyFont="1" applyFill="1" applyBorder="1"/>
    <xf numFmtId="9" fontId="0" fillId="4" borderId="24" xfId="2" applyFont="1" applyFill="1" applyBorder="1" applyAlignment="1">
      <alignment horizontal="centerContinuous"/>
    </xf>
    <xf numFmtId="9" fontId="0" fillId="4" borderId="88" xfId="2" applyFont="1" applyFill="1" applyBorder="1" applyAlignment="1">
      <alignment horizontal="centerContinuous"/>
    </xf>
    <xf numFmtId="0" fontId="15" fillId="4" borderId="23" xfId="0" applyFont="1" applyFill="1" applyBorder="1" applyAlignment="1">
      <alignment horizontal="left" vertical="center" wrapText="1"/>
    </xf>
    <xf numFmtId="0" fontId="15" fillId="4" borderId="24" xfId="0" applyFont="1" applyFill="1" applyBorder="1"/>
    <xf numFmtId="0" fontId="15" fillId="4" borderId="27" xfId="0" applyFont="1" applyFill="1" applyBorder="1"/>
    <xf numFmtId="9" fontId="0" fillId="4" borderId="7" xfId="2" applyFont="1" applyFill="1" applyBorder="1" applyAlignment="1">
      <alignment horizontal="center"/>
    </xf>
    <xf numFmtId="9" fontId="0" fillId="4" borderId="97" xfId="2" applyFont="1" applyFill="1" applyBorder="1" applyAlignment="1">
      <alignment horizontal="center"/>
    </xf>
    <xf numFmtId="9" fontId="0" fillId="4" borderId="98" xfId="2" applyFont="1" applyFill="1" applyBorder="1" applyAlignment="1">
      <alignment horizontal="center"/>
    </xf>
    <xf numFmtId="9" fontId="0" fillId="4" borderId="13" xfId="2" applyFont="1" applyFill="1" applyBorder="1" applyAlignment="1">
      <alignment horizontal="center"/>
    </xf>
    <xf numFmtId="0" fontId="2" fillId="2" borderId="12" xfId="0" applyFont="1" applyFill="1" applyBorder="1" applyAlignment="1">
      <alignment horizontal="left" vertical="center"/>
    </xf>
    <xf numFmtId="0" fontId="2" fillId="2" borderId="55" xfId="0" applyFont="1" applyFill="1" applyBorder="1" applyAlignment="1">
      <alignment horizontal="left" vertical="center"/>
    </xf>
    <xf numFmtId="0" fontId="2" fillId="2" borderId="83" xfId="0" applyFont="1" applyFill="1" applyBorder="1" applyAlignment="1">
      <alignment horizontal="left" vertical="center"/>
    </xf>
    <xf numFmtId="0" fontId="0" fillId="4" borderId="21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4" borderId="33" xfId="0" applyFill="1" applyBorder="1" applyProtection="1">
      <protection hidden="1"/>
    </xf>
    <xf numFmtId="0" fontId="0" fillId="4" borderId="19" xfId="0" applyFill="1" applyBorder="1" applyProtection="1">
      <protection hidden="1"/>
    </xf>
    <xf numFmtId="166" fontId="0" fillId="4" borderId="25" xfId="2" applyNumberFormat="1" applyFont="1" applyFill="1" applyBorder="1" applyProtection="1">
      <protection hidden="1"/>
    </xf>
    <xf numFmtId="166" fontId="0" fillId="4" borderId="18" xfId="2" applyNumberFormat="1" applyFont="1" applyFill="1" applyBorder="1" applyProtection="1">
      <protection hidden="1"/>
    </xf>
    <xf numFmtId="0" fontId="6" fillId="4" borderId="21" xfId="0" applyFont="1" applyFill="1" applyBorder="1" applyAlignment="1" applyProtection="1">
      <alignment horizontal="center" vertical="center"/>
      <protection hidden="1"/>
    </xf>
    <xf numFmtId="0" fontId="8" fillId="4" borderId="21" xfId="0" quotePrefix="1" applyFont="1" applyFill="1" applyBorder="1" applyAlignment="1" applyProtection="1">
      <alignment horizontal="center" vertical="center"/>
      <protection hidden="1"/>
    </xf>
    <xf numFmtId="0" fontId="8" fillId="4" borderId="19" xfId="0" quotePrefix="1" applyFont="1" applyFill="1" applyBorder="1" applyAlignment="1" applyProtection="1">
      <alignment horizontal="center" vertical="center"/>
      <protection hidden="1"/>
    </xf>
    <xf numFmtId="165" fontId="0" fillId="4" borderId="65" xfId="1" applyNumberFormat="1" applyFont="1" applyFill="1" applyBorder="1"/>
    <xf numFmtId="165" fontId="0" fillId="4" borderId="66" xfId="1" applyNumberFormat="1" applyFont="1" applyFill="1" applyBorder="1"/>
    <xf numFmtId="0" fontId="0" fillId="4" borderId="60" xfId="0" applyFill="1" applyBorder="1"/>
    <xf numFmtId="9" fontId="0" fillId="6" borderId="99" xfId="2" applyFont="1" applyFill="1" applyBorder="1"/>
    <xf numFmtId="165" fontId="0" fillId="4" borderId="18" xfId="1" applyNumberFormat="1" applyFont="1" applyFill="1" applyBorder="1" applyAlignment="1" applyProtection="1"/>
    <xf numFmtId="0" fontId="0" fillId="4" borderId="31" xfId="0" applyFill="1" applyBorder="1" applyAlignment="1" applyProtection="1">
      <alignment wrapText="1"/>
      <protection hidden="1"/>
    </xf>
    <xf numFmtId="0" fontId="0" fillId="0" borderId="31" xfId="0" applyBorder="1" applyAlignment="1" applyProtection="1">
      <alignment wrapText="1"/>
      <protection hidden="1"/>
    </xf>
    <xf numFmtId="0" fontId="0" fillId="0" borderId="32" xfId="0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33" xfId="0" applyBorder="1" applyAlignment="1" applyProtection="1">
      <alignment wrapText="1"/>
      <protection hidden="1"/>
    </xf>
    <xf numFmtId="0" fontId="9" fillId="4" borderId="30" xfId="0" applyFont="1" applyFill="1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protection hidden="1"/>
    </xf>
    <xf numFmtId="0" fontId="0" fillId="4" borderId="0" xfId="0" applyFont="1" applyFill="1" applyBorder="1" applyAlignment="1" applyProtection="1">
      <alignment vertical="center" wrapText="1"/>
      <protection hidden="1"/>
    </xf>
    <xf numFmtId="0" fontId="0" fillId="0" borderId="0" xfId="0" applyBorder="1" applyAlignment="1" applyProtection="1">
      <alignment vertical="center" wrapText="1"/>
      <protection hidden="1"/>
    </xf>
    <xf numFmtId="0" fontId="0" fillId="0" borderId="33" xfId="0" applyBorder="1" applyAlignment="1" applyProtection="1">
      <alignment vertical="center" wrapText="1"/>
      <protection hidden="1"/>
    </xf>
    <xf numFmtId="0" fontId="0" fillId="4" borderId="0" xfId="0" applyFill="1" applyBorder="1" applyAlignment="1" applyProtection="1">
      <alignment vertical="center" wrapText="1"/>
      <protection hidden="1"/>
    </xf>
    <xf numFmtId="0" fontId="0" fillId="4" borderId="33" xfId="0" applyFill="1" applyBorder="1" applyAlignment="1" applyProtection="1">
      <alignment vertical="center" wrapText="1"/>
      <protection hidden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0" fillId="0" borderId="7" xfId="0" applyFill="1" applyBorder="1" applyAlignment="1" applyProtection="1">
      <alignment horizontal="left"/>
      <protection locked="0"/>
    </xf>
    <xf numFmtId="0" fontId="0" fillId="0" borderId="8" xfId="0" applyFill="1" applyBorder="1" applyAlignment="1" applyProtection="1">
      <alignment horizontal="left"/>
      <protection locked="0"/>
    </xf>
    <xf numFmtId="0" fontId="3" fillId="4" borderId="0" xfId="0" applyFont="1" applyFill="1" applyBorder="1" applyAlignment="1" applyProtection="1">
      <alignment wrapText="1"/>
      <protection hidden="1"/>
    </xf>
    <xf numFmtId="0" fontId="0" fillId="0" borderId="20" xfId="0" applyBorder="1" applyAlignment="1" applyProtection="1">
      <alignment wrapText="1"/>
      <protection hidden="1"/>
    </xf>
    <xf numFmtId="0" fontId="0" fillId="0" borderId="22" xfId="0" applyBorder="1" applyAlignment="1" applyProtection="1">
      <alignment wrapText="1"/>
      <protection hidden="1"/>
    </xf>
    <xf numFmtId="0" fontId="0" fillId="4" borderId="0" xfId="0" applyFill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0" fillId="0" borderId="33" xfId="0" applyBorder="1" applyAlignment="1" applyProtection="1">
      <alignment horizontal="left" vertical="center" wrapText="1"/>
      <protection hidden="1"/>
    </xf>
    <xf numFmtId="0" fontId="0" fillId="4" borderId="20" xfId="0" applyFill="1" applyBorder="1" applyAlignment="1" applyProtection="1">
      <alignment horizontal="left" vertical="center" wrapText="1"/>
      <protection hidden="1"/>
    </xf>
    <xf numFmtId="0" fontId="0" fillId="4" borderId="22" xfId="0" applyFill="1" applyBorder="1" applyAlignment="1" applyProtection="1">
      <alignment horizontal="left" vertical="center" wrapText="1"/>
      <protection hidden="1"/>
    </xf>
    <xf numFmtId="0" fontId="0" fillId="4" borderId="14" xfId="0" applyFill="1" applyBorder="1" applyAlignment="1">
      <alignment vertical="center"/>
    </xf>
    <xf numFmtId="0" fontId="0" fillId="0" borderId="15" xfId="0" applyBorder="1" applyAlignment="1"/>
    <xf numFmtId="0" fontId="0" fillId="4" borderId="16" xfId="0" applyFill="1" applyBorder="1" applyAlignment="1" applyProtection="1">
      <alignment vertical="center"/>
    </xf>
    <xf numFmtId="0" fontId="0" fillId="0" borderId="17" xfId="0" applyBorder="1" applyAlignment="1"/>
    <xf numFmtId="0" fontId="0" fillId="4" borderId="16" xfId="0" applyFill="1" applyBorder="1" applyAlignment="1" applyProtection="1"/>
    <xf numFmtId="0" fontId="0" fillId="0" borderId="58" xfId="0" applyBorder="1" applyAlignment="1"/>
    <xf numFmtId="0" fontId="15" fillId="4" borderId="12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15" fillId="4" borderId="51" xfId="0" applyFont="1" applyFill="1" applyBorder="1" applyAlignment="1">
      <alignment horizontal="left" vertical="center" wrapText="1"/>
    </xf>
    <xf numFmtId="0" fontId="15" fillId="4" borderId="52" xfId="0" applyFont="1" applyFill="1" applyBorder="1" applyAlignment="1">
      <alignment horizontal="left" vertical="center" wrapText="1"/>
    </xf>
    <xf numFmtId="0" fontId="15" fillId="4" borderId="71" xfId="0" applyFont="1" applyFill="1" applyBorder="1" applyAlignment="1">
      <alignment horizontal="left" vertical="center" wrapText="1"/>
    </xf>
    <xf numFmtId="0" fontId="15" fillId="4" borderId="94" xfId="0" applyFont="1" applyFill="1" applyBorder="1" applyAlignment="1">
      <alignment horizontal="left" vertical="center" wrapText="1"/>
    </xf>
    <xf numFmtId="0" fontId="15" fillId="4" borderId="95" xfId="0" applyFont="1" applyFill="1" applyBorder="1" applyAlignment="1">
      <alignment horizontal="left" vertical="center" wrapText="1"/>
    </xf>
    <xf numFmtId="0" fontId="15" fillId="4" borderId="96" xfId="0" applyFont="1" applyFill="1" applyBorder="1" applyAlignment="1">
      <alignment horizontal="left" vertical="center" wrapText="1"/>
    </xf>
    <xf numFmtId="0" fontId="0" fillId="0" borderId="4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0" borderId="42" xfId="0" applyFon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13" fillId="0" borderId="75" xfId="0" applyFont="1" applyBorder="1" applyAlignment="1">
      <alignment wrapText="1"/>
    </xf>
    <xf numFmtId="0" fontId="0" fillId="0" borderId="76" xfId="0" applyBorder="1" applyAlignment="1">
      <alignment wrapText="1"/>
    </xf>
    <xf numFmtId="0" fontId="0" fillId="0" borderId="77" xfId="0" applyBorder="1" applyAlignment="1">
      <alignment wrapText="1"/>
    </xf>
    <xf numFmtId="0" fontId="0" fillId="0" borderId="78" xfId="0" applyBorder="1" applyAlignment="1">
      <alignment wrapText="1"/>
    </xf>
    <xf numFmtId="0" fontId="0" fillId="0" borderId="79" xfId="0" applyBorder="1" applyAlignment="1">
      <alignment wrapText="1"/>
    </xf>
    <xf numFmtId="0" fontId="0" fillId="0" borderId="80" xfId="0" applyBorder="1" applyAlignment="1">
      <alignment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0" fillId="0" borderId="38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166" fontId="0" fillId="4" borderId="18" xfId="2" applyNumberFormat="1" applyFont="1" applyFill="1" applyBorder="1"/>
    <xf numFmtId="166" fontId="0" fillId="4" borderId="100" xfId="2" applyNumberFormat="1" applyFont="1" applyFill="1" applyBorder="1" applyProtection="1">
      <protection hidden="1"/>
    </xf>
  </cellXfs>
  <cellStyles count="3">
    <cellStyle name="Currency" xfId="1" builtinId="4"/>
    <cellStyle name="Normal" xfId="0" builtinId="0"/>
    <cellStyle name="Percent" xfId="2" builtinId="5"/>
  </cellStyles>
  <dxfs count="8">
    <dxf>
      <font>
        <b val="0"/>
        <i val="0"/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b val="0"/>
        <i val="0"/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colors>
    <mruColors>
      <color rgb="FFDEF5C8"/>
      <color rgb="FF529328"/>
      <color rgb="FFDE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76198</xdr:rowOff>
    </xdr:from>
    <xdr:ext cx="2131153" cy="345826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6198"/>
          <a:ext cx="2131153" cy="34582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tabSelected="1" workbookViewId="0">
      <selection activeCell="B6" sqref="B6:D6"/>
    </sheetView>
  </sheetViews>
  <sheetFormatPr defaultRowHeight="15" x14ac:dyDescent="0.25"/>
  <cols>
    <col min="1" max="9" width="11.42578125" customWidth="1"/>
  </cols>
  <sheetData>
    <row r="1" spans="1:12" ht="18.75" x14ac:dyDescent="0.25">
      <c r="A1" s="2"/>
      <c r="B1" s="3"/>
      <c r="C1" s="3"/>
      <c r="D1" s="176" t="s">
        <v>75</v>
      </c>
      <c r="E1" s="176"/>
      <c r="F1" s="176"/>
      <c r="G1" s="176"/>
      <c r="H1" s="176"/>
      <c r="I1" s="177"/>
    </row>
    <row r="2" spans="1:12" x14ac:dyDescent="0.25">
      <c r="A2" s="4"/>
      <c r="B2" s="5"/>
      <c r="C2" s="5"/>
      <c r="D2" s="178"/>
      <c r="E2" s="178"/>
      <c r="F2" s="178"/>
      <c r="G2" s="178"/>
      <c r="H2" s="178"/>
      <c r="I2" s="179"/>
    </row>
    <row r="3" spans="1:12" x14ac:dyDescent="0.25">
      <c r="A3" s="180" t="s">
        <v>13</v>
      </c>
      <c r="B3" s="181"/>
      <c r="C3" s="181"/>
      <c r="D3" s="178"/>
      <c r="E3" s="178"/>
      <c r="F3" s="178"/>
      <c r="G3" s="178"/>
      <c r="H3" s="178"/>
      <c r="I3" s="179"/>
    </row>
    <row r="4" spans="1:12" x14ac:dyDescent="0.25">
      <c r="A4" s="180"/>
      <c r="B4" s="181"/>
      <c r="C4" s="181"/>
      <c r="D4" s="178"/>
      <c r="E4" s="178"/>
      <c r="F4" s="178"/>
      <c r="G4" s="178"/>
      <c r="H4" s="178"/>
      <c r="I4" s="179"/>
    </row>
    <row r="5" spans="1:12" x14ac:dyDescent="0.25">
      <c r="A5" s="6" t="s">
        <v>14</v>
      </c>
      <c r="B5" s="7"/>
      <c r="C5" s="7"/>
      <c r="D5" s="7"/>
      <c r="E5" s="7"/>
      <c r="F5" s="7"/>
      <c r="G5" s="7"/>
      <c r="H5" s="7"/>
      <c r="I5" s="8"/>
    </row>
    <row r="6" spans="1:12" x14ac:dyDescent="0.25">
      <c r="A6" s="9" t="s">
        <v>15</v>
      </c>
      <c r="B6" s="182"/>
      <c r="C6" s="182"/>
      <c r="D6" s="182"/>
      <c r="E6" s="10" t="s">
        <v>16</v>
      </c>
      <c r="F6" s="10"/>
      <c r="G6" s="182"/>
      <c r="H6" s="182"/>
      <c r="I6" s="183"/>
    </row>
    <row r="7" spans="1:12" x14ac:dyDescent="0.25">
      <c r="A7" s="9" t="s">
        <v>17</v>
      </c>
      <c r="B7" s="182"/>
      <c r="C7" s="182"/>
      <c r="D7" s="182"/>
      <c r="E7" s="10" t="s">
        <v>18</v>
      </c>
      <c r="F7" s="10"/>
      <c r="G7" s="182"/>
      <c r="H7" s="182"/>
      <c r="I7" s="183"/>
    </row>
    <row r="8" spans="1:12" ht="15.75" thickBot="1" x14ac:dyDescent="0.3">
      <c r="A8" s="11" t="s">
        <v>19</v>
      </c>
      <c r="B8" s="12"/>
      <c r="C8" s="13" t="s">
        <v>20</v>
      </c>
      <c r="D8" s="12"/>
      <c r="E8" s="13" t="s">
        <v>21</v>
      </c>
      <c r="F8" s="13"/>
      <c r="G8" s="14"/>
      <c r="H8" s="15"/>
      <c r="I8" s="16"/>
      <c r="L8" s="99"/>
    </row>
    <row r="9" spans="1:12" ht="4.5" customHeight="1" x14ac:dyDescent="0.25"/>
    <row r="10" spans="1:12" x14ac:dyDescent="0.25">
      <c r="A10" s="169" t="s">
        <v>26</v>
      </c>
      <c r="B10" s="164" t="s">
        <v>64</v>
      </c>
      <c r="C10" s="165"/>
      <c r="D10" s="165"/>
      <c r="E10" s="165"/>
      <c r="F10" s="165"/>
      <c r="G10" s="165"/>
      <c r="H10" s="165"/>
      <c r="I10" s="166"/>
    </row>
    <row r="11" spans="1:12" x14ac:dyDescent="0.25">
      <c r="A11" s="170"/>
      <c r="B11" s="167"/>
      <c r="C11" s="167"/>
      <c r="D11" s="167"/>
      <c r="E11" s="167"/>
      <c r="F11" s="167"/>
      <c r="G11" s="167"/>
      <c r="H11" s="167"/>
      <c r="I11" s="168"/>
    </row>
    <row r="12" spans="1:12" x14ac:dyDescent="0.25">
      <c r="A12" s="150"/>
      <c r="B12" s="151" t="s">
        <v>65</v>
      </c>
      <c r="C12" s="151"/>
      <c r="D12" s="151"/>
      <c r="E12" s="151"/>
      <c r="F12" s="151"/>
      <c r="G12" s="151"/>
      <c r="H12" s="151"/>
      <c r="I12" s="152"/>
    </row>
    <row r="13" spans="1:12" ht="15" customHeight="1" x14ac:dyDescent="0.25">
      <c r="A13" s="150"/>
      <c r="B13" s="184" t="s">
        <v>43</v>
      </c>
      <c r="C13" s="167"/>
      <c r="D13" s="167"/>
      <c r="E13" s="167"/>
      <c r="F13" s="167"/>
      <c r="G13" s="167"/>
      <c r="H13" s="167"/>
      <c r="I13" s="168"/>
    </row>
    <row r="14" spans="1:12" x14ac:dyDescent="0.25">
      <c r="A14" s="153"/>
      <c r="B14" s="185"/>
      <c r="C14" s="185"/>
      <c r="D14" s="185"/>
      <c r="E14" s="185"/>
      <c r="F14" s="185"/>
      <c r="G14" s="185"/>
      <c r="H14" s="185"/>
      <c r="I14" s="186"/>
    </row>
    <row r="15" spans="1:12" ht="4.5" customHeight="1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12" x14ac:dyDescent="0.25">
      <c r="A16" s="1"/>
      <c r="B16" s="30" t="s">
        <v>7</v>
      </c>
      <c r="C16" s="29"/>
      <c r="D16" s="29"/>
      <c r="E16" s="62" t="s">
        <v>42</v>
      </c>
      <c r="F16" s="63"/>
      <c r="G16" s="63"/>
      <c r="H16" s="64"/>
      <c r="I16" s="1"/>
    </row>
    <row r="17" spans="1:11" x14ac:dyDescent="0.25">
      <c r="A17" s="1"/>
      <c r="B17" s="65" t="s">
        <v>0</v>
      </c>
      <c r="C17" s="27"/>
      <c r="D17" s="28"/>
      <c r="E17" s="66"/>
      <c r="F17" s="67"/>
      <c r="G17" s="67"/>
      <c r="H17" s="68"/>
      <c r="I17" s="1"/>
    </row>
    <row r="18" spans="1:11" x14ac:dyDescent="0.25">
      <c r="A18" s="1"/>
      <c r="B18" s="192" t="s">
        <v>5</v>
      </c>
      <c r="C18" s="193"/>
      <c r="D18" s="22"/>
      <c r="E18" s="81"/>
      <c r="F18" s="82"/>
      <c r="G18" s="82"/>
      <c r="H18" s="230"/>
      <c r="I18" s="1"/>
    </row>
    <row r="19" spans="1:11" x14ac:dyDescent="0.25">
      <c r="A19" s="1"/>
      <c r="B19" s="194" t="s">
        <v>4</v>
      </c>
      <c r="C19" s="195"/>
      <c r="D19" s="23"/>
      <c r="E19" s="73" t="s">
        <v>1</v>
      </c>
      <c r="F19" s="74"/>
      <c r="G19" s="74"/>
      <c r="H19" s="155">
        <f>IFERROR(+CostofSales/Turnover,)</f>
        <v>0</v>
      </c>
      <c r="I19" s="1"/>
    </row>
    <row r="20" spans="1:11" x14ac:dyDescent="0.25">
      <c r="A20" s="1"/>
      <c r="B20" s="69" t="s">
        <v>6</v>
      </c>
      <c r="C20" s="18"/>
      <c r="D20" s="24"/>
      <c r="E20" s="73" t="s">
        <v>66</v>
      </c>
      <c r="F20" s="74"/>
      <c r="G20" s="74"/>
      <c r="H20" s="155">
        <f>IFERROR(+TotalExpenses/Turnover,)</f>
        <v>0</v>
      </c>
      <c r="I20" s="1"/>
    </row>
    <row r="21" spans="1:11" x14ac:dyDescent="0.25">
      <c r="A21" s="1"/>
      <c r="B21" s="17" t="s">
        <v>22</v>
      </c>
      <c r="C21" s="18"/>
      <c r="D21" s="24"/>
      <c r="E21" s="73" t="s">
        <v>9</v>
      </c>
      <c r="F21" s="74"/>
      <c r="G21" s="74"/>
      <c r="H21" s="155">
        <f>IFERROR(+LabourCost/Turnover,)</f>
        <v>0</v>
      </c>
      <c r="I21" s="1"/>
    </row>
    <row r="22" spans="1:11" x14ac:dyDescent="0.25">
      <c r="A22" s="1"/>
      <c r="B22" s="17" t="s">
        <v>23</v>
      </c>
      <c r="C22" s="18"/>
      <c r="D22" s="163"/>
      <c r="E22" s="73" t="s">
        <v>10</v>
      </c>
      <c r="F22" s="74"/>
      <c r="G22" s="74"/>
      <c r="H22" s="155">
        <f>IFERROR(+Rent/Turnover,)</f>
        <v>0</v>
      </c>
      <c r="I22" s="1"/>
    </row>
    <row r="23" spans="1:11" x14ac:dyDescent="0.25">
      <c r="A23" s="1"/>
      <c r="B23" s="196" t="s">
        <v>24</v>
      </c>
      <c r="C23" s="197"/>
      <c r="D23" s="24"/>
      <c r="E23" s="73" t="s">
        <v>11</v>
      </c>
      <c r="F23" s="74"/>
      <c r="G23" s="74"/>
      <c r="H23" s="229">
        <f>IFERROR(+MotorvehicleExpenses/Turnover,)</f>
        <v>0</v>
      </c>
      <c r="I23" s="1"/>
    </row>
    <row r="24" spans="1:11" x14ac:dyDescent="0.25">
      <c r="A24" s="1"/>
      <c r="B24" s="21" t="s">
        <v>62</v>
      </c>
      <c r="C24" s="19"/>
      <c r="D24" s="25"/>
      <c r="E24" s="79"/>
      <c r="F24" s="80"/>
      <c r="G24" s="80"/>
      <c r="H24" s="85"/>
      <c r="I24" s="1"/>
    </row>
    <row r="25" spans="1:11" x14ac:dyDescent="0.25">
      <c r="A25" s="1"/>
      <c r="B25" s="20" t="s">
        <v>12</v>
      </c>
      <c r="C25" s="70"/>
      <c r="D25" s="22"/>
      <c r="E25" s="77" t="s">
        <v>67</v>
      </c>
      <c r="F25" s="72"/>
      <c r="G25" s="72"/>
      <c r="H25" s="154">
        <f>IFERROR(+NonCapitalPurchases/TotalSales,)</f>
        <v>0</v>
      </c>
      <c r="I25" s="1"/>
    </row>
    <row r="26" spans="1:11" x14ac:dyDescent="0.25">
      <c r="A26" s="1"/>
      <c r="B26" s="61" t="s">
        <v>25</v>
      </c>
      <c r="C26" s="71"/>
      <c r="D26" s="26"/>
      <c r="E26" s="75"/>
      <c r="F26" s="76"/>
      <c r="G26" s="76"/>
      <c r="H26" s="78"/>
      <c r="I26" s="1"/>
    </row>
    <row r="27" spans="1:11" ht="4.5" customHeight="1" x14ac:dyDescent="0.25"/>
    <row r="28" spans="1:11" x14ac:dyDescent="0.25">
      <c r="A28" s="34" t="s">
        <v>27</v>
      </c>
      <c r="B28" s="32"/>
      <c r="C28" s="32"/>
      <c r="D28" s="32"/>
      <c r="E28" s="32"/>
      <c r="F28" s="32"/>
      <c r="G28" s="32"/>
      <c r="H28" s="32"/>
      <c r="I28" s="33"/>
    </row>
    <row r="29" spans="1:11" ht="18" customHeight="1" x14ac:dyDescent="0.25">
      <c r="A29" s="156" t="str">
        <f>IF(Turnover&lt;SmallTOThreshold,"",VLOOKUP(Turnover,Data!A7:C9,3))</f>
        <v/>
      </c>
      <c r="B29" s="171" t="str">
        <f>IF(Turnover&lt;SmallTOThreshold,CONCATENATE("The client's turnover is less than the minimum of $",TEXT(SmallTOThreshold,"_$#,###")," for which ATO benchmarks are available."),CONCATENATE("The client's turnover is $",TEXT(Turnover,"_$#,###"),"."))</f>
        <v>The client's turnover is less than the minimum of $ 50,000 for which ATO benchmarks are available.</v>
      </c>
      <c r="C29" s="172"/>
      <c r="D29" s="172"/>
      <c r="E29" s="172"/>
      <c r="F29" s="172"/>
      <c r="G29" s="172"/>
      <c r="H29" s="172"/>
      <c r="I29" s="173"/>
    </row>
    <row r="30" spans="1:11" ht="18" x14ac:dyDescent="0.25">
      <c r="A30" s="157" t="str">
        <f>IF(CostofSales+LabourCost+Rent+MotorvehicleExpenses&gt;TotalExpenses,"P","ü")</f>
        <v>ü</v>
      </c>
      <c r="B30" s="171" t="str">
        <f>IF(CostofSales+LabourCost+Rent+MotorvehicleExpenses&gt;TotalExpenses,"Itemised expenses exceed total expenses for the income tax year.","Total expenses at least equal the sum of itemised expenses.")</f>
        <v>Total expenses at least equal the sum of itemised expenses.</v>
      </c>
      <c r="C30" s="172"/>
      <c r="D30" s="172"/>
      <c r="E30" s="172"/>
      <c r="F30" s="172"/>
      <c r="G30" s="172"/>
      <c r="H30" s="172"/>
      <c r="I30" s="173"/>
    </row>
    <row r="31" spans="1:11" ht="17.25" customHeight="1" x14ac:dyDescent="0.25">
      <c r="A31" s="157" t="str">
        <f>IF(Size="Small",IF(OR(CoS_TO&lt;CoS_TOSmallLower,CoS_TO&gt;CoS_TOSmallUpper),"P",IF(AND(CoS_TO&gt;=CoS_TOSmallLower,CoS_TO&lt;=CoS_TOSmallUpper),"ü",)),IF(Size="Medium",IF(OR(CoS_TO&lt;CoS_TOMedLower,CoS_TO&gt;CoS_TOMedUpper),"P",IF(AND(CoS_TO&gt;=CoS_TOMedLower,CoS_TO&lt;=CoS_TOMedUpper),"ü",)),IF(Size="Large",IF(OR(CoS_TO&lt;CoS_TOLargeLower,CoS_TO&gt;CoS_TOLargeUpper),"P",IF(AND(CoS_TO&gt;=CoS_TOLargeLower,CoS_TO&lt;=CoS_TOLargeUpper),"ü",)),"û")))</f>
        <v>û</v>
      </c>
      <c r="B31" s="171" t="str">
        <f ca="1">IF(Size="Small",IF(CoS_TO&lt;CoS_TOSmallLower,CONCATENATE("The ",CELL("contents",Calculator!$E19)," is ",TEXT(CoS_TO,"#%"),". This is below the lower benchmark for a business of this size."),IF(CoS_TO&gt;CoS_TOSmallUpper,CONCATENATE("The ",CELL("contents",Calculator!$E19)," is ",TEXT(CoS_TO,"#%"),". This is above the upper benchmark for a business of this size."),IF(AND(CoS_TO&gt;=CoS_TOSmallLower,CoS_TO&lt;=CoS_TOSmallUpper),CONCATENATE("The ",CELL("contents",Calculator!$E19)," is ",TEXT(CoS_TO,"#%"),". This is within the ATO benchmark range for a business of this size.")))),+IF(Size="Medium",IF(CoS_TO&lt;CoS_TOMedLower,CONCATENATE("The ",CELL("contents",Calculator!$E19)," is ",TEXT(CoS_TO,"#%"),". This is below the lower benchmark for a business of this size."),IF(CoS_TO&gt;CoS_TOMedUpper,CONCATENATE("The ",CELL("contents",Calculator!$E19)," is ",TEXT(CoS_TO,"#%"),". This is above the upper benchmark for a business of this size."),IF(AND(CoS_TO&gt;=CoS_TOMedLower,CoS_TO&lt;=CoS_TOMedUpper),CONCATENATE("The ",CELL("contents",Calculator!$E19)," is ",TEXT(CoS_TO,"#%"),". This is within the ATO benchmark range for a business of this size.")))),IF(Size="Large",IF(CoS_TO&lt;CoS_TOLargeLower,CONCATENATE("The ",CELL("contents",Calculator!$E19)," is ",TEXT(CoS_TO,"#%"),". This is below the lower benchmark for a business of this size."),IF(CoS_TO&gt;CoS_TOLargeUpper,CONCATENATE("The ",CELL("contents",Calculator!$E19)," is ",TEXT(CoS_TO,"#%"),". This is above the upper benchmark for a business of this size."),IF(AND(CoS_TO&gt;=CoS_TOLargeLower,CoS_TO&lt;=CoS_TOLargeUpper),CONCATENATE("The ",CELL("contents",Calculator!$E19)," is ",TEXT(CoS_TO,"#%"),". This is within the ATO benchmark range for a business of this size.")))),"Valid Turnover has not been entered.")))</f>
        <v>Valid Turnover has not been entered.</v>
      </c>
      <c r="C31" s="174"/>
      <c r="D31" s="174"/>
      <c r="E31" s="174"/>
      <c r="F31" s="174"/>
      <c r="G31" s="174"/>
      <c r="H31" s="174"/>
      <c r="I31" s="175"/>
      <c r="J31" s="84"/>
      <c r="K31" s="83"/>
    </row>
    <row r="32" spans="1:11" ht="18" x14ac:dyDescent="0.25">
      <c r="A32" s="157" t="str">
        <f>IF(Size="Small",IF(OR(TotExp_TO&lt;TotExp_TOSmallLower,TotExp_TO&gt;TotExp_TOSmallUpper),"P",IF(AND(TotExp_TO&gt;=TotExp_TOSmallLower,TotExp_TO&lt;=TotExp_TOSmallUpper),"ü",)),IF(Size="Medium",IF(OR(TotExp_TO&lt;TotExp_TOMedLower,TotExp_TO&gt;TotExp_TOMedUpper),"P",IF(AND(TotExp_TO&gt;=TotExp_TOMedLower,TotExp_TO&lt;=TotExp_TOMedUpper),"ü",)),IF(Size="Large",IF(OR(TotExp_TO&lt;TotExp_TOLargeLower,TotExp_TO&gt;TotExp_TOLargeUpper),"P",IF(AND(TotExp_TO&gt;=TotExp_TOLargeLower,TotExp_TO&lt;=TotExp_TOLargeUpper),"ü",)),"û")))</f>
        <v>û</v>
      </c>
      <c r="B32" s="151" t="str">
        <f ca="1">IF(Size="Small",IF(TotExp_TO&lt;TotExp_TOSmallLower,CONCATENATE("The ",CELL("contents",Calculator!$E20)," is ",TEXT(TotExp_TO,"#%"),". This is below the lower benchmark for a business of this size."),IF(TotExp_TO&gt;TotExp_TOSmallUpper,CONCATENATE("The ",CELL("contents",Calculator!$E20)," is ",TEXT(TotExp_TO,"#%"),". This is above the upper benchmark for a business of this size."),IF(AND(TotExp_TO&gt;=TotExp_TOSmallLower,TotExp_TO&lt;=TotExp_TOSmallUpper),CONCATENATE("The ",CELL("contents",Calculator!$E20)," is ",TEXT(TotExp_TO,"#%"),". This is within the ATO benchmark range for a business of this size.")))),+IF(Size="Medium",IF(TotExp_TO&lt;TotExp_TOMedLower,CONCATENATE("The ",CELL("contents",Calculator!$E20)," is ",TEXT(TotExp_TO,"#%"),". This is below the lower benchmark for a business of this size."),IF(TotExp_TO&gt;TotExp_TOMedUpper,CONCATENATE("The ",CELL("contents",Calculator!$E20)," is ",TEXT(TotExp_TO,"#%"),". This is above the upper benchmark for a business of this size."),IF(AND(TotExp_TO&gt;=TotExp_TOMedLower,TotExp_TO&lt;=TotExp_TOMedUpper),CONCATENATE("The ",CELL("contents",Calculator!$E20)," is ",TEXT(TotExp_TO,"#%"),". This is within the ATO benchmark range for a business of this size.")))),IF(Size="Large",IF(TotExp_TO&lt;TotExp_TOLargeLower,CONCATENATE("The ",CELL("contents",Calculator!$E20)," is ",TEXT(TotExp_TO,"#%"),". This is below the lower benchmark for a business of this size."),IF(TotExp_TO&gt;TotExp_TOLargeUpper,CONCATENATE("The ",CELL("contents",Calculator!$E20)," is ",TEXT(TotExp_TO,"#%"),". This is above the upper benchmark for a business of this size."),IF(AND(TotExp_TO&gt;=TotExp_TOLargeLower,TotExp_TO&lt;=TotExp_TOLargeUpper),CONCATENATE("The ",CELL("contents",Calculator!$E20)," is ",TEXT(TotExp_TO,"#%"),". This is within the ATO benchmark range for a business of this size.")))),"Valid Turnover has not been entered.")))</f>
        <v>Valid Turnover has not been entered.</v>
      </c>
      <c r="C32" s="151"/>
      <c r="D32" s="151"/>
      <c r="E32" s="151"/>
      <c r="F32" s="151"/>
      <c r="G32" s="151"/>
      <c r="H32" s="151"/>
      <c r="I32" s="152"/>
    </row>
    <row r="33" spans="1:9" ht="18" x14ac:dyDescent="0.25">
      <c r="A33" s="157" t="str">
        <f>IF(Size="Small",IF(OR(Labour_TO&lt;Labour_TOSmallLower,Labour_TO&gt;Labour_TOSmallUpper),"P",IF(AND(Labour_TO&gt;=Labour_TOSmallLower,Labour_TO&lt;=Labour_TOSmallUpper),"ü",)),IF(Size="Medium",IF(OR(Labour_TO&lt;Labour_TOMedLower,Labour_TO&gt;Labour_TOMedUpper),"P",IF(AND(Labour_TO&gt;=Labour_TOMedLower,Labour_TO&lt;=Labour_TOMedUpper),"ü",)),IF(Size="Large",IF(OR(Labour_TO&lt;Labour_TOLargeLower,Labour_TO&gt;Labour_TOLargeUpper),"P",IF(AND(Labour_TO&gt;=Labour_TOLargeLower,Labour_TO&lt;=Labour_TOLargeUpper),"ü",)),"û")))</f>
        <v>û</v>
      </c>
      <c r="B33" s="151" t="str">
        <f ca="1">IF(Size="Small",IF(Labour_TO&lt;Labour_TOSmallLower,CONCATENATE("The ",CELL("contents",Calculator!$E21)," is ",TEXT(Labour_TO,"#%"),". This is below the lower benchmark for a business of this size."),IF(Labour_TO&gt;Labour_TOSmallUpper,CONCATENATE("The ",CELL("contents",Calculator!$E21)," is ",TEXT(Labour_TO,"#%"),". This is above the upper benchmark for a business of this size."),IF(AND(Labour_TO&gt;=Labour_TOSmallLower,Labour_TO&lt;=Labour_TOSmallUpper),CONCATENATE("The ",CELL("contents",Calculator!$E21)," is ",TEXT(Labour_TO,"#%"),". This is within the ATO benchmark range for a business of this size.")))),+IF(Size="Medium",IF(Labour_TO&lt;Labour_TOMedLower,CONCATENATE("The ",CELL("contents",Calculator!$E21)," is ",TEXT(Labour_TO,"#%"),". This is below the lower benchmark for a business of this size."),IF(Labour_TO&gt;Labour_TOMedUpper,CONCATENATE("The ",CELL("contents",Calculator!$E21)," is ",TEXT(Labour_TO,"#%"),". This is above the upper benchmark for a business of this size."),IF(AND(Labour_TO&gt;=Labour_TOMedLower,Labour_TO&lt;=Labour_TOMedUpper),CONCATENATE("The ",CELL("contents",Calculator!$E21)," is ",TEXT(Labour_TO,"#%"),". This is within the ATO benchmark range for a business of this size.")))),IF(Size="Large",IF(Labour_TO&lt;Labour_TOLargeLower,CONCATENATE("The ",CELL("contents",Calculator!$E21)," is ",TEXT(Labour_TO,"#%"),". This is below the lower benchmark for a business of this size."),IF(Labour_TO&gt;Labour_TOLargeUpper,CONCATENATE("The ",CELL("contents",Calculator!$E21)," is ",TEXT(Labour_TO,"#%"),". This is above the upper benchmark for a business of this size."),IF(AND(Labour_TO&gt;=Labour_TOLargeLower,Labour_TO&lt;=Labour_TOLargeUpper),CONCATENATE("The ",CELL("contents",Calculator!$E21)," is ",TEXT(Labour_TO,"#%"),". This is within the ATO benchmark range for a business of this size.")))),"Valid Turnover has not been entered.")))</f>
        <v>Valid Turnover has not been entered.</v>
      </c>
      <c r="C33" s="151"/>
      <c r="D33" s="151"/>
      <c r="E33" s="151"/>
      <c r="F33" s="151"/>
      <c r="G33" s="151"/>
      <c r="H33" s="151"/>
      <c r="I33" s="152"/>
    </row>
    <row r="34" spans="1:9" ht="17.25" hidden="1" customHeight="1" x14ac:dyDescent="0.25">
      <c r="A34" s="157" t="str">
        <f>IF(Size="Small",IF(OR(Rent_TO&lt;Rent_TOSmallLower,Rent_TO&gt;Rent_TOSmallUpper),"P",IF(AND(Rent_TO&gt;=Rent_TOSmallLower,Rent_TO&lt;=Rent_TOSmallUpper),"ü",)),IF(Size="Medium",IF(OR(Rent_TO&lt;=Rent_TOMedLower,Rent_TO&gt;=Rent_TOMedUpper),"P",IF(AND(Rent_TO&gt;Rent_TOMedLower,Rent_TO&lt;Rent_TOMedUpper),"ü",)),IF(Size="Large",IF(OR(Rent_TO&lt;Rent_TOLargeLower,Rent_TO&gt;Rent_TOLargeUpper),"P",IF(AND(Rent_TO&gt;=Rent_TOLargeLower,Rent_TO&lt;=Rent_TOLargeUpper),"ü",)),"û")))</f>
        <v>û</v>
      </c>
      <c r="B34" s="151" t="str">
        <f ca="1">IF(Size="Small",IF(Rent_TO&lt;Rent_TOSmallLower,CONCATENATE("The ",CELL("contents",Calculator!$E22)," is ",TEXT(Rent_TO,"#%"),". This is below the lower benchmark for a business of this size."),IF(Rent_TO&gt;Rent_TOSmallUpper,CONCATENATE("The ",CELL("contents",Calculator!$E22)," is ",TEXT(Rent_TO,"#%"),". This is above the upper benchmark for a business of this size."),IF(AND(Rent_TO&gt;=Rent_TOSmallLower,Rent_TO&lt;=Rent_TOSmallUpper),CONCATENATE("The ",CELL("contents",Calculator!$E22)," is ",TEXT(Rent_TO,"#%"),". This is within the ATO benchmark range for a business of this size.")))),+IF(Size="Medium",IF(Rent_TO&lt;Rent_TOMedLower,CONCATENATE("The ",CELL("contents",Calculator!$E22)," is ",TEXT(Rent_TO,"#%"),". This is below the lower benchmark for a business of this size."),IF(Rent_TO&gt;Rent_TOMedUpper,CONCATENATE("The ",CELL("contents",Calculator!$E22)," is ",TEXT(Rent_TO,"#%"),". This is above the upper benchmark for a business of this size."),IF(AND(Rent_TO&gt;=Rent_TOMedLower,Rent_TO&lt;=Rent_TOMedUpper),CONCATENATE("The ",CELL("contents",Calculator!$E22)," is ",TEXT(Rent_TO,"#%"),". This is within the ATO benchmark range for a business of this size.")))),IF(Size="Large",IF(Rent_TO&lt;Rent_TOLargeLower,CONCATENATE("The ",CELL("contents",Calculator!$E22)," is ",TEXT(Rent_TO,"#%"),". This is below the lower benchmark for a business of this size."),IF(Rent_TO&gt;Rent_TOLargeUpper,CONCATENATE("The ",CELL("contents",Calculator!$E22)," is ",TEXT(Rent_TO,"#%"),". This is above the upper benchmark for a business of this size."),IF(AND(Rent_TO&gt;=Rent_TOLargeLower,Rent_TO&lt;=Rent_TOLargeUpper),CONCATENATE("The ",CELL("contents",Calculator!$E22)," is ",TEXT(Rent_TO,"#%"),". This is within the ATO benchmark range for a business of this size.")))),"Valid Turnover has not been entered.")))</f>
        <v>Valid Turnover has not been entered.</v>
      </c>
      <c r="C34" s="151"/>
      <c r="D34" s="151"/>
      <c r="E34" s="151"/>
      <c r="F34" s="151"/>
      <c r="G34" s="151"/>
      <c r="H34" s="151"/>
      <c r="I34" s="152"/>
    </row>
    <row r="35" spans="1:9" ht="34.5" customHeight="1" x14ac:dyDescent="0.25">
      <c r="A35" s="157" t="str">
        <f>IF(Size="Small",IF(OR(MVExp_TO&lt;MVExp_TOSmallLower,MVExp_TO&gt;MVExp_TOSmallUpper),"P",IF(AND(MVExp_TO&gt;=MVExp_TOSmallLower,MVExp_TO&lt;=MVExp_TOSmallUpper),"ü",)),IF(Size="Medium",IF(OR(MVExp_TO&lt;MVExp_TOMedLower,MVExp_TO&gt;MVExp_TOMedUpper),"P",IF(AND(MVExp_TO&gt;=MVExp_TOMedLower,MVExp_TO&lt;=MVExp_TOMedUpper),"ü",)),IF(Size="Large",IF(OR(MVExp_TO&lt;MVExp_TOLargeLower,MVExp_TO&gt;MVExp_TOLargeUpper),"P",IF(AND(MVExp_TO&gt;=MVExp_TOLargeLower,MVExp_TO&lt;=MVExp_TOLargeUpper),"ü",)),"û")))</f>
        <v>û</v>
      </c>
      <c r="B35" s="187" t="str">
        <f ca="1">IF(Size="Small",IF(MVExp_TO&lt;MVExp_TOSmallLower,CONCATENATE("The ",CELL("contents",Calculator!$E23)," is ",TEXT(MVExp_TO,"#%"),". This is below the lower benchmark for a business of this size."),IF(MVExp_TO&gt;MVExp_TOSmallUpper,CONCATENATE("The ",CELL("contents",Calculator!$E23)," is ",TEXT(MVExp_TO,"#%"),". This is above the upper benchmark for a business of this size."),IF(AND(MVExp_TO&gt;=MVExp_TOSmallLower,MVExp_TO&lt;=MVExp_TOSmallUpper),CONCATENATE("The ",CELL("contents",Calculator!$E23)," is ",TEXT(MVExp_TO,"#%"),". This is within the ATO benchmark range for a business of this size.")))),+IF(Size="Medium",IF(MVExp_TO&lt;MVExp_TOMedLower,CONCATENATE("The ",CELL("contents",Calculator!$E23)," is ",TEXT(MVExp_TO,"#%"),". This is below the lower benchmark for a business of this size."),IF(MVExp_TO&gt;MVExp_TOMedUpper,CONCATENATE("The ",CELL("contents",Calculator!$E23)," is ",TEXT(MVExp_TO,"#%"),". This is above the upper benchmark for a business of this size."),IF(AND(MVExp_TO&gt;=MVExp_TOMedLower,MVExp_TO&lt;=MVExp_TOMedUpper),CONCATENATE("The ",CELL("contents",Calculator!$E23)," is ",TEXT(MVExp_TO,"#%"),". This is within the ATO benchmark range for a business of this size.")))),IF(Size="Large",IF(MVExp_TO&lt;MVExp_TOLargeLower,CONCATENATE("The ",CELL("contents",Calculator!$E23)," is ",TEXT(MVExp_TO,"#%"),". This is below the lower benchmark for a business of this size."),IF(MVExp_TO&gt;MVExp_TOLargeUpper,CONCATENATE("The ",CELL("contents",Calculator!$E23)," is ",TEXT(MVExp_TO,"#%"),". This is above the upper benchmark for a business of this size."),IF(AND(MVExp_TO&gt;=MVExp_TOLargeLower,MVExp_TO&lt;=MVExp_TOLargeUpper),CONCATENATE("The ",CELL("contents",Calculator!$E23)," is ",TEXT(MVExp_TO,"#%"),". This is within the ATO benchmark range for a business of this size.")))),"Valid Turnover has not been entered.")))</f>
        <v>Valid Turnover has not been entered.</v>
      </c>
      <c r="C35" s="188"/>
      <c r="D35" s="188"/>
      <c r="E35" s="188"/>
      <c r="F35" s="188"/>
      <c r="G35" s="188"/>
      <c r="H35" s="188"/>
      <c r="I35" s="189"/>
    </row>
    <row r="36" spans="1:9" ht="30.75" customHeight="1" x14ac:dyDescent="0.25">
      <c r="A36" s="158" t="str">
        <f>IF(Size="Small",IF(OR(NonCapPurch_Sales&lt;NonCapPurch_SalesSmallLower,NonCapPurch_Sales&gt;NonCapPurch_SalesSmallUpper),"P",IF(AND(NonCapPurch_Sales&gt;=NonCapPurch_SalesSmallLower,NonCapPurch_Sales&lt;=NonCapPurch_SalesSmallUpper),"ü",)),IF(Size="Medium",IF(OR(NonCapPurch_Sales&lt;NonCapPurch_SalesMedLower,NonCapPurch_Sales&gt;NonCapPurch_SalesMedUpper),"P",IF(AND(NonCapPurch_Sales&gt;=NonCapPurch_SalesMedLower,NonCapPurch_Sales&lt;=NonCapPurch_SalesMedUpper),"ü",)),IF(Size="Large",IF(OR(NonCapPurch_Sales&lt;NonCapPurch_SalesLargeLower,NonCapPurch_Sales&gt;NonCapPurch_SalesLargeUpper),"P",IF(AND(NonCapPurch_Sales&gt;=NonCapPurch_SalesLargeLower,NonCapPurch_Sales&lt;=NonCapPurch_SalesLargeUpper),"ü",)),"û")))</f>
        <v>û</v>
      </c>
      <c r="B36" s="190" t="str">
        <f ca="1">IF(Size="Small",IF(NonCapPurch_Sales&lt;NonCapPurch_SalesSmallLower,CONCATENATE("The ",CELL("contents",Calculator!$E25)," is ",TEXT(NonCapPurch_Sales,"#%"),". This is below the lower benchmark for a business of this size."),IF(NonCapPurch_Sales&gt;NonCapPurch_SalesSmallUpper,CONCATENATE("The ",CELL("contents",Calculator!$E25)," is ",TEXT(NonCapPurch_Sales,"#%"),". This is above the upper benchmark for a business of this size."),IF(AND(NonCapPurch_Sales&gt;=NonCapPurch_SalesSmallLower,NonCapPurch_Sales&lt;=NonCapPurch_SalesSmallUpper),CONCATENATE("The ",CELL("contents",Calculator!$E25)," is ",TEXT(NonCapPurch_Sales,"#%"),". This is within the ATO benchmark range for a business of this size.")))),+IF(Size="Medium",IF(NonCapPurch_Sales&lt;NonCapPurch_SalesMedLower,CONCATENATE("The ",CELL("contents",Calculator!$E25)," is ",TEXT(NonCapPurch_Sales,"#%"),". This is below the lower benchmark for a business of this size."),IF(NonCapPurch_Sales&gt;NonCapPurch_SalesMedUpper,CONCATENATE("The ",CELL("contents",Calculator!$E25)," is ",TEXT(NonCapPurch_Sales,"#%"),". This is above the upper benchmark for a business of this size."),IF(AND(NonCapPurch_Sales&gt;=NonCapPurch_SalesMedLower,NonCapPurch_Sales&lt;=NonCapPurch_SalesMedUpper),CONCATENATE("The ",CELL("contents",Calculator!$E25)," is ",TEXT(NonCapPurch_Sales,"#%"),". This is within the ATO benchmark range for a business of this size.")))),IF(Size="Large",IF(NonCapPurch_Sales&lt;NonCapPurch_SalesLargeLower,CONCATENATE("The ",CELL("contents",Calculator!$E25)," is ",TEXT(NonCapPurch_Sales,"#%"),". This is below the lower benchmark for a business of this size."),IF(NonCapPurch_Sales&gt;NonCapPurch_SalesLargeUpper,CONCATENATE("The ",CELL("contents",Calculator!$E25)," is ",TEXT(NonCapPurch_Sales,"#%"),". This is above the upper benchmark for a business of this size."),IF(AND(NonCapPurch_Sales&gt;=NonCapPurch_SalesLargeLower,NonCapPurch_Sales&lt;=NonCapPurch_SalesLargeUpper),CONCATENATE("The ",CELL("contents",Calculator!$E25)," is ",TEXT(NonCapPurch_Sales,"#%"),". This is within the ATO benchmark range for a business of this size.")))),"Valid Turnover has not been entered.")))</f>
        <v>Valid Turnover has not been entered.</v>
      </c>
      <c r="C36" s="190"/>
      <c r="D36" s="190"/>
      <c r="E36" s="190"/>
      <c r="F36" s="190"/>
      <c r="G36" s="190"/>
      <c r="H36" s="190"/>
      <c r="I36" s="191"/>
    </row>
    <row r="37" spans="1:9" ht="4.5" customHeight="1" x14ac:dyDescent="0.25"/>
    <row r="38" spans="1:9" x14ac:dyDescent="0.25">
      <c r="A38" s="104" t="s">
        <v>68</v>
      </c>
      <c r="B38" s="115"/>
      <c r="C38" s="115"/>
      <c r="D38" s="116" t="s">
        <v>39</v>
      </c>
      <c r="E38" s="117"/>
      <c r="F38" s="116" t="s">
        <v>40</v>
      </c>
      <c r="G38" s="117"/>
      <c r="H38" s="116" t="s">
        <v>41</v>
      </c>
      <c r="I38" s="118"/>
    </row>
    <row r="39" spans="1:9" x14ac:dyDescent="0.25">
      <c r="A39" s="148"/>
      <c r="B39" s="67"/>
      <c r="C39" s="131"/>
      <c r="D39" s="128" t="s">
        <v>57</v>
      </c>
      <c r="E39" s="129" t="s">
        <v>58</v>
      </c>
      <c r="F39" s="128" t="s">
        <v>57</v>
      </c>
      <c r="G39" s="129" t="s">
        <v>58</v>
      </c>
      <c r="H39" s="128" t="s">
        <v>57</v>
      </c>
      <c r="I39" s="130" t="s">
        <v>58</v>
      </c>
    </row>
    <row r="40" spans="1:9" x14ac:dyDescent="0.25">
      <c r="A40" s="119" t="s">
        <v>63</v>
      </c>
      <c r="B40" s="112"/>
      <c r="C40" s="132"/>
      <c r="D40" s="113">
        <v>50000</v>
      </c>
      <c r="E40" s="114">
        <v>200000</v>
      </c>
      <c r="F40" s="113">
        <v>200001</v>
      </c>
      <c r="G40" s="114">
        <v>500000</v>
      </c>
      <c r="H40" s="105">
        <v>500001</v>
      </c>
      <c r="I40" s="106"/>
    </row>
    <row r="41" spans="1:9" x14ac:dyDescent="0.25">
      <c r="A41" s="149" t="s">
        <v>0</v>
      </c>
      <c r="B41" s="111"/>
      <c r="C41" s="111"/>
      <c r="D41" s="133"/>
      <c r="E41" s="134"/>
      <c r="F41" s="136"/>
      <c r="G41" s="137"/>
      <c r="H41" s="134"/>
      <c r="I41" s="135"/>
    </row>
    <row r="42" spans="1:9" ht="15" customHeight="1" x14ac:dyDescent="0.25">
      <c r="A42" s="204" t="s">
        <v>69</v>
      </c>
      <c r="B42" s="205"/>
      <c r="C42" s="206"/>
      <c r="D42" s="107">
        <v>0.23</v>
      </c>
      <c r="E42" s="126">
        <v>0.34</v>
      </c>
      <c r="F42" s="121">
        <v>0.28000000000000003</v>
      </c>
      <c r="G42" s="127">
        <v>0.37</v>
      </c>
      <c r="H42" s="121">
        <v>0.31</v>
      </c>
      <c r="I42" s="127">
        <v>0.41</v>
      </c>
    </row>
    <row r="43" spans="1:9" x14ac:dyDescent="0.25">
      <c r="A43" s="140" t="s">
        <v>59</v>
      </c>
      <c r="B43" s="141"/>
      <c r="C43" s="142"/>
      <c r="D43" s="122">
        <f>AVERAGE(D42,E42)</f>
        <v>0.28500000000000003</v>
      </c>
      <c r="E43" s="123"/>
      <c r="F43" s="124">
        <f>AVERAGE(F42,G42)</f>
        <v>0.32500000000000001</v>
      </c>
      <c r="G43" s="125"/>
      <c r="H43" s="124">
        <f>AVERAGE(H42,I42)</f>
        <v>0.36</v>
      </c>
      <c r="I43" s="125"/>
    </row>
    <row r="44" spans="1:9" ht="15" customHeight="1" x14ac:dyDescent="0.25">
      <c r="A44" s="201" t="s">
        <v>70</v>
      </c>
      <c r="B44" s="202"/>
      <c r="C44" s="203"/>
      <c r="D44" s="120">
        <v>0.52</v>
      </c>
      <c r="E44" s="126">
        <v>0.68</v>
      </c>
      <c r="F44" s="108">
        <v>0.64</v>
      </c>
      <c r="G44" s="127">
        <v>0.77</v>
      </c>
      <c r="H44" s="121">
        <v>0.77</v>
      </c>
      <c r="I44" s="127">
        <v>0.88</v>
      </c>
    </row>
    <row r="45" spans="1:9" x14ac:dyDescent="0.25">
      <c r="A45" s="140" t="s">
        <v>59</v>
      </c>
      <c r="B45" s="141"/>
      <c r="C45" s="142"/>
      <c r="D45" s="138">
        <f>AVERAGE(D44,E44)</f>
        <v>0.60000000000000009</v>
      </c>
      <c r="E45" s="123"/>
      <c r="F45" s="139">
        <f>ROUNDDOWN(AVERAGE(F44,G44),1)</f>
        <v>0.7</v>
      </c>
      <c r="G45" s="125"/>
      <c r="H45" s="139">
        <f>AVERAGE(H44,I44)</f>
        <v>0.82499999999999996</v>
      </c>
      <c r="I45" s="125"/>
    </row>
    <row r="46" spans="1:9" ht="15" customHeight="1" x14ac:dyDescent="0.25">
      <c r="A46" s="198" t="s">
        <v>71</v>
      </c>
      <c r="B46" s="199"/>
      <c r="C46" s="200"/>
      <c r="D46" s="143">
        <v>0.19</v>
      </c>
      <c r="E46" s="144">
        <v>0.32</v>
      </c>
      <c r="F46" s="145">
        <v>0.17</v>
      </c>
      <c r="G46" s="146">
        <v>0.28000000000000003</v>
      </c>
      <c r="H46" s="145">
        <v>0.24</v>
      </c>
      <c r="I46" s="146">
        <v>0.35</v>
      </c>
    </row>
    <row r="47" spans="1:9" hidden="1" x14ac:dyDescent="0.25">
      <c r="A47" s="198" t="s">
        <v>72</v>
      </c>
      <c r="B47" s="199"/>
      <c r="C47" s="200"/>
      <c r="D47" s="143"/>
      <c r="E47" s="144"/>
      <c r="F47" s="145"/>
      <c r="G47" s="146"/>
      <c r="H47" s="145"/>
      <c r="I47" s="146"/>
    </row>
    <row r="48" spans="1:9" x14ac:dyDescent="0.25">
      <c r="A48" s="198" t="s">
        <v>73</v>
      </c>
      <c r="B48" s="199"/>
      <c r="C48" s="200"/>
      <c r="D48" s="143">
        <v>0.06</v>
      </c>
      <c r="E48" s="144">
        <v>0.09</v>
      </c>
      <c r="F48" s="145">
        <v>0.04</v>
      </c>
      <c r="G48" s="146">
        <v>0.06</v>
      </c>
      <c r="H48" s="145">
        <v>0.03</v>
      </c>
      <c r="I48" s="146">
        <v>0.04</v>
      </c>
    </row>
    <row r="49" spans="1:9" ht="15" customHeight="1" x14ac:dyDescent="0.25">
      <c r="A49" s="147" t="s">
        <v>62</v>
      </c>
      <c r="B49" s="80"/>
      <c r="C49" s="80"/>
      <c r="D49" s="133"/>
      <c r="E49" s="134"/>
      <c r="F49" s="136"/>
      <c r="G49" s="137"/>
      <c r="H49" s="134"/>
      <c r="I49" s="135"/>
    </row>
    <row r="50" spans="1:9" x14ac:dyDescent="0.25">
      <c r="A50" s="198" t="s">
        <v>74</v>
      </c>
      <c r="B50" s="199"/>
      <c r="C50" s="200"/>
      <c r="D50" s="143">
        <v>0.4</v>
      </c>
      <c r="E50" s="144">
        <v>0.55000000000000004</v>
      </c>
      <c r="F50" s="145">
        <v>0.45</v>
      </c>
      <c r="G50" s="146">
        <v>0.56999999999999995</v>
      </c>
      <c r="H50" s="145">
        <v>0.47</v>
      </c>
      <c r="I50" s="146">
        <v>0.59</v>
      </c>
    </row>
  </sheetData>
  <sheetProtection password="C5FC" sheet="1" objects="1" scenarios="1"/>
  <mergeCells count="24">
    <mergeCell ref="A47:C47"/>
    <mergeCell ref="A48:C48"/>
    <mergeCell ref="A50:C50"/>
    <mergeCell ref="A44:C44"/>
    <mergeCell ref="A42:C42"/>
    <mergeCell ref="A46:C46"/>
    <mergeCell ref="B35:I35"/>
    <mergeCell ref="B36:I36"/>
    <mergeCell ref="B18:C18"/>
    <mergeCell ref="B19:C19"/>
    <mergeCell ref="B23:C23"/>
    <mergeCell ref="B30:I30"/>
    <mergeCell ref="B10:I11"/>
    <mergeCell ref="A10:A11"/>
    <mergeCell ref="B29:I29"/>
    <mergeCell ref="B31:I31"/>
    <mergeCell ref="D1:I2"/>
    <mergeCell ref="A3:C4"/>
    <mergeCell ref="D3:I4"/>
    <mergeCell ref="B6:D6"/>
    <mergeCell ref="G6:I6"/>
    <mergeCell ref="B7:D7"/>
    <mergeCell ref="G7:I7"/>
    <mergeCell ref="B13:I14"/>
  </mergeCells>
  <conditionalFormatting sqref="A31:A36">
    <cfRule type="cellIs" dxfId="7" priority="23" operator="equal">
      <formula>"û"</formula>
    </cfRule>
    <cfRule type="cellIs" dxfId="6" priority="24" stopIfTrue="1" operator="equal">
      <formula>"ü"</formula>
    </cfRule>
  </conditionalFormatting>
  <conditionalFormatting sqref="A31:A36">
    <cfRule type="cellIs" dxfId="5" priority="22" stopIfTrue="1" operator="equal">
      <formula>"ü"</formula>
    </cfRule>
  </conditionalFormatting>
  <conditionalFormatting sqref="A31:A36">
    <cfRule type="cellIs" dxfId="4" priority="21" operator="equal">
      <formula>"P"</formula>
    </cfRule>
  </conditionalFormatting>
  <conditionalFormatting sqref="A30">
    <cfRule type="cellIs" dxfId="3" priority="3" operator="equal">
      <formula>"û"</formula>
    </cfRule>
    <cfRule type="cellIs" dxfId="2" priority="4" stopIfTrue="1" operator="equal">
      <formula>"ü"</formula>
    </cfRule>
  </conditionalFormatting>
  <conditionalFormatting sqref="A30">
    <cfRule type="cellIs" dxfId="1" priority="2" stopIfTrue="1" operator="equal">
      <formula>"ü"</formula>
    </cfRule>
  </conditionalFormatting>
  <conditionalFormatting sqref="A30">
    <cfRule type="cellIs" dxfId="0" priority="1" operator="equal">
      <formula>"P"</formula>
    </cfRule>
  </conditionalFormatting>
  <dataValidations count="1">
    <dataValidation allowBlank="1" showInputMessage="1" showErrorMessage="1" prompt="The ATO has not provided a rent based ratio for electical contractors" sqref="D22"/>
  </dataValidations>
  <pageMargins left="0.70866141732283472" right="0.70866141732283472" top="0.74803149606299213" bottom="0.74803149606299213" header="0.31496062992125984" footer="0.31496062992125984"/>
  <pageSetup scale="87" orientation="portrait" r:id="rId1"/>
  <headerFooter>
    <oddHeader>&amp;C&amp;F</oddHeader>
    <oddFooter>&amp;L&amp;D &amp;T&amp;CPage &amp;P of &amp;N&amp;RWorkpaper: 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B26" workbookViewId="0">
      <selection activeCell="G25" sqref="G25"/>
    </sheetView>
  </sheetViews>
  <sheetFormatPr defaultRowHeight="15" x14ac:dyDescent="0.25"/>
  <cols>
    <col min="1" max="11" width="11.42578125" customWidth="1"/>
  </cols>
  <sheetData>
    <row r="1" spans="1:11" x14ac:dyDescent="0.25">
      <c r="A1" s="213" t="s">
        <v>60</v>
      </c>
      <c r="B1" s="214"/>
      <c r="C1" s="214"/>
      <c r="D1" s="214"/>
      <c r="E1" s="214"/>
      <c r="F1" s="214"/>
      <c r="G1" s="214"/>
      <c r="H1" s="214"/>
      <c r="I1" s="215"/>
    </row>
    <row r="2" spans="1:11" x14ac:dyDescent="0.25">
      <c r="A2" s="216"/>
      <c r="B2" s="217"/>
      <c r="C2" s="217"/>
      <c r="D2" s="217"/>
      <c r="E2" s="217"/>
      <c r="F2" s="217"/>
      <c r="G2" s="217"/>
      <c r="H2" s="217"/>
      <c r="I2" s="218"/>
    </row>
    <row r="3" spans="1:11" x14ac:dyDescent="0.25">
      <c r="A3" s="39" t="s">
        <v>34</v>
      </c>
    </row>
    <row r="4" spans="1:11" s="35" customFormat="1" ht="15" customHeight="1" x14ac:dyDescent="0.25">
      <c r="A4" s="44" t="s">
        <v>31</v>
      </c>
      <c r="B4" s="47"/>
      <c r="C4" s="223" t="s">
        <v>28</v>
      </c>
      <c r="D4" s="219" t="s">
        <v>32</v>
      </c>
      <c r="E4" s="220"/>
      <c r="F4" s="226" t="s">
        <v>2</v>
      </c>
      <c r="G4" s="219" t="s">
        <v>33</v>
      </c>
      <c r="H4" s="220"/>
      <c r="I4" s="226" t="s">
        <v>3</v>
      </c>
      <c r="J4" s="207"/>
      <c r="K4" s="208"/>
    </row>
    <row r="5" spans="1:11" s="35" customFormat="1" x14ac:dyDescent="0.25">
      <c r="A5" s="46"/>
      <c r="B5" s="60"/>
      <c r="C5" s="224"/>
      <c r="D5" s="221"/>
      <c r="E5" s="222"/>
      <c r="F5" s="227"/>
      <c r="G5" s="221"/>
      <c r="H5" s="222"/>
      <c r="I5" s="227"/>
      <c r="J5" s="42"/>
      <c r="K5" s="43"/>
    </row>
    <row r="6" spans="1:11" x14ac:dyDescent="0.25">
      <c r="A6" s="38" t="s">
        <v>29</v>
      </c>
      <c r="B6" s="52" t="s">
        <v>30</v>
      </c>
      <c r="C6" s="225"/>
      <c r="D6" s="38" t="s">
        <v>29</v>
      </c>
      <c r="E6" s="52" t="s">
        <v>30</v>
      </c>
      <c r="F6" s="228"/>
      <c r="G6" s="38" t="s">
        <v>29</v>
      </c>
      <c r="H6" s="52" t="s">
        <v>30</v>
      </c>
      <c r="I6" s="228"/>
      <c r="J6" s="40"/>
      <c r="K6" s="31"/>
    </row>
    <row r="7" spans="1:11" x14ac:dyDescent="0.25">
      <c r="A7" s="49">
        <f>+Calculator!D40</f>
        <v>50000</v>
      </c>
      <c r="B7" s="53">
        <f>+Calculator!E40</f>
        <v>200000</v>
      </c>
      <c r="C7" s="45" t="s">
        <v>39</v>
      </c>
      <c r="D7" s="37">
        <f>+Calculator!D42</f>
        <v>0.23</v>
      </c>
      <c r="E7" s="56">
        <f>+Calculator!E42</f>
        <v>0.34</v>
      </c>
      <c r="F7" s="100">
        <f>+Calculator!D43</f>
        <v>0.28500000000000003</v>
      </c>
      <c r="G7" s="37">
        <f>+Calculator!D44</f>
        <v>0.52</v>
      </c>
      <c r="H7" s="56">
        <f>+Calculator!E44</f>
        <v>0.68</v>
      </c>
      <c r="I7" s="100">
        <f>+Calculator!D45</f>
        <v>0.60000000000000009</v>
      </c>
      <c r="J7" s="41"/>
      <c r="K7" s="110"/>
    </row>
    <row r="8" spans="1:11" x14ac:dyDescent="0.25">
      <c r="A8" s="50">
        <f>+Calculator!F40</f>
        <v>200001</v>
      </c>
      <c r="B8" s="54">
        <f>+Calculator!G40</f>
        <v>500000</v>
      </c>
      <c r="C8" s="36" t="s">
        <v>40</v>
      </c>
      <c r="D8" s="36">
        <f>+Calculator!F42</f>
        <v>0.28000000000000003</v>
      </c>
      <c r="E8" s="57">
        <f>+Calculator!G42</f>
        <v>0.37</v>
      </c>
      <c r="F8" s="101">
        <f>+Calculator!F43</f>
        <v>0.32500000000000001</v>
      </c>
      <c r="G8" s="36">
        <f>+Calculator!F44</f>
        <v>0.64</v>
      </c>
      <c r="H8" s="57">
        <f>+Calculator!G44</f>
        <v>0.77</v>
      </c>
      <c r="I8" s="101">
        <f>+Calculator!F45</f>
        <v>0.7</v>
      </c>
      <c r="J8" s="40"/>
      <c r="K8" s="31"/>
    </row>
    <row r="9" spans="1:11" x14ac:dyDescent="0.25">
      <c r="A9" s="51">
        <f>+Calculator!H40</f>
        <v>500001</v>
      </c>
      <c r="B9" s="55"/>
      <c r="C9" s="48" t="s">
        <v>41</v>
      </c>
      <c r="D9" s="48">
        <f>+Calculator!H42</f>
        <v>0.31</v>
      </c>
      <c r="E9" s="58">
        <f>+Calculator!I42</f>
        <v>0.41</v>
      </c>
      <c r="F9" s="102">
        <f>+Calculator!H43</f>
        <v>0.36</v>
      </c>
      <c r="G9" s="48">
        <f>+Calculator!H44</f>
        <v>0.77</v>
      </c>
      <c r="H9" s="58">
        <f>+Calculator!I44</f>
        <v>0.88</v>
      </c>
      <c r="I9" s="102">
        <f>+Calculator!H45</f>
        <v>0.82499999999999996</v>
      </c>
      <c r="J9" s="40"/>
      <c r="K9" s="31"/>
    </row>
    <row r="11" spans="1:11" ht="15" customHeight="1" x14ac:dyDescent="0.25">
      <c r="B11" s="219" t="s">
        <v>35</v>
      </c>
      <c r="C11" s="220"/>
      <c r="D11" s="219" t="s">
        <v>36</v>
      </c>
      <c r="E11" s="220"/>
      <c r="F11" s="219" t="s">
        <v>37</v>
      </c>
      <c r="G11" s="220"/>
      <c r="H11" s="219" t="s">
        <v>38</v>
      </c>
      <c r="I11" s="220"/>
    </row>
    <row r="12" spans="1:11" x14ac:dyDescent="0.25">
      <c r="B12" s="221"/>
      <c r="C12" s="222"/>
      <c r="D12" s="221"/>
      <c r="E12" s="222"/>
      <c r="F12" s="221"/>
      <c r="G12" s="222"/>
      <c r="H12" s="221"/>
      <c r="I12" s="222"/>
    </row>
    <row r="13" spans="1:11" x14ac:dyDescent="0.25">
      <c r="B13" s="38" t="s">
        <v>29</v>
      </c>
      <c r="C13" s="52" t="s">
        <v>30</v>
      </c>
      <c r="D13" s="38" t="s">
        <v>29</v>
      </c>
      <c r="E13" s="52" t="s">
        <v>30</v>
      </c>
      <c r="F13" s="38" t="s">
        <v>29</v>
      </c>
      <c r="G13" s="52" t="s">
        <v>30</v>
      </c>
      <c r="H13" s="38" t="s">
        <v>29</v>
      </c>
      <c r="I13" s="52" t="s">
        <v>30</v>
      </c>
    </row>
    <row r="14" spans="1:11" x14ac:dyDescent="0.25">
      <c r="A14" t="s">
        <v>39</v>
      </c>
      <c r="B14" s="37">
        <f>+Calculator!D46</f>
        <v>0.19</v>
      </c>
      <c r="C14" s="59">
        <f>+Calculator!E46</f>
        <v>0.32</v>
      </c>
      <c r="D14" s="37">
        <f>+Calculator!D47</f>
        <v>0</v>
      </c>
      <c r="E14" s="59">
        <f>+Calculator!E47</f>
        <v>0</v>
      </c>
      <c r="F14" s="37">
        <f>+Calculator!D48</f>
        <v>0.06</v>
      </c>
      <c r="G14" s="59">
        <f>+Calculator!E48</f>
        <v>0.09</v>
      </c>
      <c r="H14" s="37">
        <f>+Calculator!D50</f>
        <v>0.4</v>
      </c>
      <c r="I14" s="59">
        <f>+Calculator!E50</f>
        <v>0.55000000000000004</v>
      </c>
    </row>
    <row r="15" spans="1:11" x14ac:dyDescent="0.25">
      <c r="A15" t="s">
        <v>40</v>
      </c>
      <c r="B15" s="36">
        <f>+Calculator!F46</f>
        <v>0.17</v>
      </c>
      <c r="C15" s="57">
        <f>+Calculator!G46</f>
        <v>0.28000000000000003</v>
      </c>
      <c r="D15" s="36">
        <f>+Calculator!F47</f>
        <v>0</v>
      </c>
      <c r="E15" s="57">
        <f>+Calculator!G47</f>
        <v>0</v>
      </c>
      <c r="F15" s="36">
        <f>+Calculator!F48</f>
        <v>0.04</v>
      </c>
      <c r="G15" s="57">
        <f>+Calculator!G48</f>
        <v>0.06</v>
      </c>
      <c r="H15" s="36">
        <f>+Calculator!F50</f>
        <v>0.45</v>
      </c>
      <c r="I15" s="57">
        <f>+Calculator!G50</f>
        <v>0.56999999999999995</v>
      </c>
    </row>
    <row r="16" spans="1:11" x14ac:dyDescent="0.25">
      <c r="A16" t="s">
        <v>41</v>
      </c>
      <c r="B16" s="48">
        <f>+Calculator!H46</f>
        <v>0.24</v>
      </c>
      <c r="C16" s="58">
        <f>+Calculator!I46</f>
        <v>0.35</v>
      </c>
      <c r="D16" s="48">
        <f>+Calculator!H47</f>
        <v>0</v>
      </c>
      <c r="E16" s="58">
        <f>+Calculator!I47</f>
        <v>0</v>
      </c>
      <c r="F16" s="48">
        <f>+Calculator!H48</f>
        <v>0.03</v>
      </c>
      <c r="G16" s="58">
        <f>+Calculator!I48</f>
        <v>0.04</v>
      </c>
      <c r="H16" s="48">
        <f>+Calculator!H50</f>
        <v>0.47</v>
      </c>
      <c r="I16" s="58">
        <f>+Calculator!I50</f>
        <v>0.59</v>
      </c>
    </row>
    <row r="18" spans="1:11" x14ac:dyDescent="0.25">
      <c r="A18" s="109" t="s">
        <v>61</v>
      </c>
    </row>
    <row r="20" spans="1:11" x14ac:dyDescent="0.25">
      <c r="A20" s="209" t="s">
        <v>44</v>
      </c>
      <c r="B20" s="210"/>
      <c r="C20" s="89" t="s">
        <v>48</v>
      </c>
      <c r="D20" s="86"/>
      <c r="E20" s="87"/>
      <c r="F20" s="89" t="s">
        <v>49</v>
      </c>
      <c r="G20" s="86"/>
      <c r="H20" s="87"/>
      <c r="I20" s="89" t="s">
        <v>50</v>
      </c>
      <c r="J20" s="86"/>
      <c r="K20" s="87"/>
    </row>
    <row r="21" spans="1:11" x14ac:dyDescent="0.25">
      <c r="A21" s="211"/>
      <c r="B21" s="212"/>
      <c r="C21" s="92" t="s">
        <v>46</v>
      </c>
      <c r="D21" s="93" t="s">
        <v>47</v>
      </c>
      <c r="E21" s="94" t="s">
        <v>8</v>
      </c>
      <c r="F21" s="92" t="s">
        <v>46</v>
      </c>
      <c r="G21" s="93" t="s">
        <v>47</v>
      </c>
      <c r="H21" s="94" t="s">
        <v>8</v>
      </c>
      <c r="I21" s="92" t="s">
        <v>46</v>
      </c>
      <c r="J21" s="93" t="s">
        <v>47</v>
      </c>
      <c r="K21" s="94" t="s">
        <v>8</v>
      </c>
    </row>
    <row r="22" spans="1:11" x14ac:dyDescent="0.25">
      <c r="A22" s="40" t="s">
        <v>5</v>
      </c>
      <c r="B22" s="90"/>
      <c r="C22" s="159">
        <v>60000</v>
      </c>
      <c r="D22" s="95"/>
      <c r="E22" s="96"/>
      <c r="F22" s="159">
        <v>140000</v>
      </c>
      <c r="G22" s="95"/>
      <c r="H22" s="96"/>
      <c r="I22" s="159">
        <v>190000</v>
      </c>
      <c r="J22" s="95"/>
      <c r="K22" s="162"/>
    </row>
    <row r="23" spans="1:11" x14ac:dyDescent="0.25">
      <c r="A23" s="40" t="s">
        <v>4</v>
      </c>
      <c r="B23" s="90"/>
      <c r="C23" s="159">
        <v>12000</v>
      </c>
      <c r="D23" s="103">
        <f>+C23/$C$22</f>
        <v>0.2</v>
      </c>
      <c r="E23" s="161" t="b">
        <v>1</v>
      </c>
      <c r="F23" s="159">
        <f>0.35*F22</f>
        <v>49000</v>
      </c>
      <c r="G23" s="103">
        <f>+F23/$F$22</f>
        <v>0.35</v>
      </c>
      <c r="H23" s="161" t="b">
        <v>1</v>
      </c>
      <c r="I23" s="159">
        <f>0.29*I22</f>
        <v>55099.999999999993</v>
      </c>
      <c r="J23" s="103">
        <f>+I23/$I$22</f>
        <v>0.28999999999999998</v>
      </c>
      <c r="K23" s="161" t="b">
        <v>1</v>
      </c>
    </row>
    <row r="24" spans="1:11" x14ac:dyDescent="0.25">
      <c r="A24" s="40" t="s">
        <v>6</v>
      </c>
      <c r="B24" s="90"/>
      <c r="C24" s="159">
        <v>30000</v>
      </c>
      <c r="D24" s="103">
        <f t="shared" ref="D24:D27" si="0">+C24/$C$22</f>
        <v>0.5</v>
      </c>
      <c r="E24" s="161" t="b">
        <v>1</v>
      </c>
      <c r="F24" s="159">
        <v>115000</v>
      </c>
      <c r="G24" s="103">
        <f t="shared" ref="G24:G27" si="1">+F24/$F$22</f>
        <v>0.8214285714285714</v>
      </c>
      <c r="H24" s="161" t="b">
        <v>1</v>
      </c>
      <c r="I24" s="159">
        <f>0.6*I22</f>
        <v>114000</v>
      </c>
      <c r="J24" s="103">
        <f t="shared" ref="J24:J27" si="2">+I24/$I$22</f>
        <v>0.6</v>
      </c>
      <c r="K24" s="161" t="b">
        <v>1</v>
      </c>
    </row>
    <row r="25" spans="1:11" x14ac:dyDescent="0.25">
      <c r="A25" s="40" t="s">
        <v>22</v>
      </c>
      <c r="B25" s="90"/>
      <c r="C25" s="159">
        <v>11000</v>
      </c>
      <c r="D25" s="103">
        <f t="shared" si="0"/>
        <v>0.18333333333333332</v>
      </c>
      <c r="E25" s="161" t="b">
        <v>1</v>
      </c>
      <c r="F25" s="159">
        <f>0.34*F22</f>
        <v>47600</v>
      </c>
      <c r="G25" s="103">
        <f t="shared" si="1"/>
        <v>0.34</v>
      </c>
      <c r="H25" s="161" t="b">
        <v>1</v>
      </c>
      <c r="I25" s="159">
        <f>0.26*I22</f>
        <v>49400</v>
      </c>
      <c r="J25" s="103">
        <f t="shared" si="2"/>
        <v>0.26</v>
      </c>
      <c r="K25" s="161" t="b">
        <v>1</v>
      </c>
    </row>
    <row r="26" spans="1:11" x14ac:dyDescent="0.25">
      <c r="A26" s="40" t="s">
        <v>23</v>
      </c>
      <c r="B26" s="90"/>
      <c r="C26" s="159"/>
      <c r="D26" s="103">
        <f t="shared" si="0"/>
        <v>0</v>
      </c>
      <c r="E26" s="161"/>
      <c r="F26" s="159"/>
      <c r="G26" s="103">
        <f t="shared" si="1"/>
        <v>0</v>
      </c>
      <c r="H26" s="161"/>
      <c r="I26" s="159"/>
      <c r="J26" s="103">
        <f t="shared" si="2"/>
        <v>0</v>
      </c>
      <c r="K26" s="161"/>
    </row>
    <row r="27" spans="1:11" x14ac:dyDescent="0.25">
      <c r="A27" s="40" t="s">
        <v>45</v>
      </c>
      <c r="B27" s="90"/>
      <c r="C27" s="159">
        <v>3000</v>
      </c>
      <c r="D27" s="103">
        <f t="shared" si="0"/>
        <v>0.05</v>
      </c>
      <c r="E27" s="161" t="b">
        <v>1</v>
      </c>
      <c r="F27" s="159">
        <v>14000</v>
      </c>
      <c r="G27" s="103">
        <f t="shared" si="1"/>
        <v>0.1</v>
      </c>
      <c r="H27" s="161" t="b">
        <v>1</v>
      </c>
      <c r="I27" s="159">
        <f>0.07*I22</f>
        <v>13300.000000000002</v>
      </c>
      <c r="J27" s="103">
        <f t="shared" si="2"/>
        <v>7.0000000000000007E-2</v>
      </c>
      <c r="K27" s="161" t="b">
        <v>1</v>
      </c>
    </row>
    <row r="28" spans="1:11" x14ac:dyDescent="0.25">
      <c r="A28" s="40" t="s">
        <v>12</v>
      </c>
      <c r="B28" s="90"/>
      <c r="C28" s="159">
        <v>4500</v>
      </c>
      <c r="D28" s="103">
        <f>+C28/C29</f>
        <v>0.3</v>
      </c>
      <c r="E28" s="161" t="b">
        <v>1</v>
      </c>
      <c r="F28" s="159">
        <f>0.6*F29</f>
        <v>21000</v>
      </c>
      <c r="G28" s="103">
        <f>+F28/F29</f>
        <v>0.6</v>
      </c>
      <c r="H28" s="161" t="b">
        <v>1</v>
      </c>
      <c r="I28" s="159">
        <f>0.48*I29</f>
        <v>22800</v>
      </c>
      <c r="J28" s="103">
        <f>+I28/I29</f>
        <v>0.48</v>
      </c>
      <c r="K28" s="161" t="b">
        <v>1</v>
      </c>
    </row>
    <row r="29" spans="1:11" x14ac:dyDescent="0.25">
      <c r="A29" s="88" t="s">
        <v>25</v>
      </c>
      <c r="B29" s="91"/>
      <c r="C29" s="160">
        <v>15000</v>
      </c>
      <c r="D29" s="97"/>
      <c r="E29" s="98"/>
      <c r="F29" s="160">
        <f>0.25*F22</f>
        <v>35000</v>
      </c>
      <c r="G29" s="97"/>
      <c r="H29" s="98"/>
      <c r="I29" s="160">
        <f>0.25*I22</f>
        <v>47500</v>
      </c>
      <c r="J29" s="97"/>
      <c r="K29" s="98"/>
    </row>
    <row r="31" spans="1:11" x14ac:dyDescent="0.25">
      <c r="A31" s="209" t="s">
        <v>44</v>
      </c>
      <c r="B31" s="210"/>
      <c r="C31" s="89" t="s">
        <v>51</v>
      </c>
      <c r="D31" s="86"/>
      <c r="E31" s="87"/>
      <c r="F31" s="89" t="s">
        <v>52</v>
      </c>
      <c r="G31" s="86"/>
      <c r="H31" s="87"/>
      <c r="I31" s="89" t="s">
        <v>53</v>
      </c>
      <c r="J31" s="86"/>
      <c r="K31" s="87"/>
    </row>
    <row r="32" spans="1:11" x14ac:dyDescent="0.25">
      <c r="A32" s="211"/>
      <c r="B32" s="212"/>
      <c r="C32" s="92" t="s">
        <v>46</v>
      </c>
      <c r="D32" s="93" t="s">
        <v>47</v>
      </c>
      <c r="E32" s="94" t="s">
        <v>8</v>
      </c>
      <c r="F32" s="92" t="s">
        <v>46</v>
      </c>
      <c r="G32" s="93" t="s">
        <v>47</v>
      </c>
      <c r="H32" s="94" t="s">
        <v>8</v>
      </c>
      <c r="I32" s="92" t="s">
        <v>46</v>
      </c>
      <c r="J32" s="93" t="s">
        <v>47</v>
      </c>
      <c r="K32" s="94" t="s">
        <v>8</v>
      </c>
    </row>
    <row r="33" spans="1:11" x14ac:dyDescent="0.25">
      <c r="A33" s="40" t="s">
        <v>5</v>
      </c>
      <c r="B33" s="90"/>
      <c r="C33" s="159">
        <v>250000</v>
      </c>
      <c r="D33" s="95"/>
      <c r="E33" s="96"/>
      <c r="F33" s="159">
        <v>350000</v>
      </c>
      <c r="G33" s="95"/>
      <c r="H33" s="96"/>
      <c r="I33" s="159">
        <v>450000</v>
      </c>
      <c r="J33" s="95"/>
      <c r="K33" s="96"/>
    </row>
    <row r="34" spans="1:11" x14ac:dyDescent="0.25">
      <c r="A34" s="40" t="s">
        <v>4</v>
      </c>
      <c r="B34" s="90"/>
      <c r="C34" s="159">
        <f>0.25*C33</f>
        <v>62500</v>
      </c>
      <c r="D34" s="103">
        <f>+C34/C$33</f>
        <v>0.25</v>
      </c>
      <c r="E34" s="161" t="b">
        <v>1</v>
      </c>
      <c r="F34" s="159">
        <f>0.4*F33</f>
        <v>140000</v>
      </c>
      <c r="G34" s="103">
        <f>+F34/F$33</f>
        <v>0.4</v>
      </c>
      <c r="H34" s="161" t="b">
        <v>1</v>
      </c>
      <c r="I34" s="159">
        <f>0.33*I33</f>
        <v>148500</v>
      </c>
      <c r="J34" s="103">
        <f>+I34/I$33</f>
        <v>0.33</v>
      </c>
      <c r="K34" s="161" t="b">
        <v>1</v>
      </c>
    </row>
    <row r="35" spans="1:11" x14ac:dyDescent="0.25">
      <c r="A35" s="40" t="s">
        <v>6</v>
      </c>
      <c r="B35" s="90"/>
      <c r="C35" s="159">
        <f>0.58*C33</f>
        <v>145000</v>
      </c>
      <c r="D35" s="103">
        <f t="shared" ref="D35:D38" si="3">+C35/C$33</f>
        <v>0.57999999999999996</v>
      </c>
      <c r="E35" s="161" t="b">
        <v>1</v>
      </c>
      <c r="F35" s="159">
        <v>300000</v>
      </c>
      <c r="G35" s="103">
        <f t="shared" ref="G35:G38" si="4">+F35/F$33</f>
        <v>0.8571428571428571</v>
      </c>
      <c r="H35" s="161" t="b">
        <v>1</v>
      </c>
      <c r="I35" s="159">
        <v>345000</v>
      </c>
      <c r="J35" s="103">
        <f t="shared" ref="J35:J38" si="5">+I35/I$33</f>
        <v>0.76666666666666672</v>
      </c>
      <c r="K35" s="161" t="b">
        <v>1</v>
      </c>
    </row>
    <row r="36" spans="1:11" x14ac:dyDescent="0.25">
      <c r="A36" s="40" t="s">
        <v>22</v>
      </c>
      <c r="B36" s="90"/>
      <c r="C36" s="159">
        <f>0.15*C33</f>
        <v>37500</v>
      </c>
      <c r="D36" s="103">
        <f t="shared" si="3"/>
        <v>0.15</v>
      </c>
      <c r="E36" s="161" t="b">
        <v>1</v>
      </c>
      <c r="F36" s="159">
        <f>0.3*F33</f>
        <v>105000</v>
      </c>
      <c r="G36" s="103">
        <f t="shared" si="4"/>
        <v>0.3</v>
      </c>
      <c r="H36" s="161" t="b">
        <v>1</v>
      </c>
      <c r="I36" s="159">
        <f>0.24*I33</f>
        <v>108000</v>
      </c>
      <c r="J36" s="103">
        <f t="shared" si="5"/>
        <v>0.24</v>
      </c>
      <c r="K36" s="161" t="b">
        <v>1</v>
      </c>
    </row>
    <row r="37" spans="1:11" x14ac:dyDescent="0.25">
      <c r="A37" s="40" t="s">
        <v>23</v>
      </c>
      <c r="B37" s="90"/>
      <c r="C37" s="159"/>
      <c r="D37" s="103">
        <f t="shared" si="3"/>
        <v>0</v>
      </c>
      <c r="E37" s="161"/>
      <c r="F37" s="159"/>
      <c r="G37" s="103">
        <f t="shared" si="4"/>
        <v>0</v>
      </c>
      <c r="H37" s="161"/>
      <c r="I37" s="159"/>
      <c r="J37" s="103">
        <f t="shared" si="5"/>
        <v>0</v>
      </c>
      <c r="K37" s="161"/>
    </row>
    <row r="38" spans="1:11" x14ac:dyDescent="0.25">
      <c r="A38" s="40" t="s">
        <v>45</v>
      </c>
      <c r="B38" s="90"/>
      <c r="C38" s="159">
        <f>0.038*C33</f>
        <v>9500</v>
      </c>
      <c r="D38" s="103">
        <f t="shared" si="3"/>
        <v>3.7999999999999999E-2</v>
      </c>
      <c r="E38" s="161" t="b">
        <v>1</v>
      </c>
      <c r="F38" s="159">
        <f>0.07*F33</f>
        <v>24500.000000000004</v>
      </c>
      <c r="G38" s="103">
        <f t="shared" si="4"/>
        <v>7.0000000000000007E-2</v>
      </c>
      <c r="H38" s="161" t="b">
        <v>1</v>
      </c>
      <c r="I38" s="159">
        <f>0.05*I33</f>
        <v>22500</v>
      </c>
      <c r="J38" s="103">
        <f t="shared" si="5"/>
        <v>0.05</v>
      </c>
      <c r="K38" s="161" t="b">
        <v>1</v>
      </c>
    </row>
    <row r="39" spans="1:11" x14ac:dyDescent="0.25">
      <c r="A39" s="40" t="s">
        <v>12</v>
      </c>
      <c r="B39" s="90"/>
      <c r="C39" s="159">
        <f>0.43*C40</f>
        <v>26875</v>
      </c>
      <c r="D39" s="103">
        <f>+C39/C40</f>
        <v>0.43</v>
      </c>
      <c r="E39" s="161" t="b">
        <v>1</v>
      </c>
      <c r="F39" s="159">
        <f>0.6*F40</f>
        <v>52500</v>
      </c>
      <c r="G39" s="103">
        <f>+F39/F40</f>
        <v>0.6</v>
      </c>
      <c r="H39" s="161" t="b">
        <v>1</v>
      </c>
      <c r="I39" s="159">
        <f>0.51*I40</f>
        <v>57375</v>
      </c>
      <c r="J39" s="103">
        <f>+I39/I40</f>
        <v>0.51</v>
      </c>
      <c r="K39" s="161" t="b">
        <v>1</v>
      </c>
    </row>
    <row r="40" spans="1:11" x14ac:dyDescent="0.25">
      <c r="A40" s="88" t="s">
        <v>25</v>
      </c>
      <c r="B40" s="91"/>
      <c r="C40" s="160">
        <f>0.25*C33</f>
        <v>62500</v>
      </c>
      <c r="D40" s="97"/>
      <c r="E40" s="98"/>
      <c r="F40" s="160">
        <f>0.25*F33</f>
        <v>87500</v>
      </c>
      <c r="G40" s="97"/>
      <c r="H40" s="98"/>
      <c r="I40" s="160">
        <f>0.25*I33</f>
        <v>112500</v>
      </c>
      <c r="J40" s="97"/>
      <c r="K40" s="98"/>
    </row>
    <row r="42" spans="1:11" x14ac:dyDescent="0.25">
      <c r="A42" s="209" t="s">
        <v>44</v>
      </c>
      <c r="B42" s="210"/>
      <c r="C42" s="89" t="s">
        <v>54</v>
      </c>
      <c r="D42" s="86"/>
      <c r="E42" s="87"/>
      <c r="F42" s="89" t="s">
        <v>55</v>
      </c>
      <c r="G42" s="86"/>
      <c r="H42" s="87"/>
      <c r="I42" s="89" t="s">
        <v>56</v>
      </c>
      <c r="J42" s="86"/>
      <c r="K42" s="87"/>
    </row>
    <row r="43" spans="1:11" x14ac:dyDescent="0.25">
      <c r="A43" s="211"/>
      <c r="B43" s="212"/>
      <c r="C43" s="92" t="s">
        <v>46</v>
      </c>
      <c r="D43" s="93" t="s">
        <v>47</v>
      </c>
      <c r="E43" s="94" t="s">
        <v>8</v>
      </c>
      <c r="F43" s="92" t="s">
        <v>46</v>
      </c>
      <c r="G43" s="93" t="s">
        <v>47</v>
      </c>
      <c r="H43" s="94" t="s">
        <v>8</v>
      </c>
      <c r="I43" s="92" t="s">
        <v>46</v>
      </c>
      <c r="J43" s="93" t="s">
        <v>47</v>
      </c>
      <c r="K43" s="94" t="s">
        <v>8</v>
      </c>
    </row>
    <row r="44" spans="1:11" x14ac:dyDescent="0.25">
      <c r="A44" s="40" t="s">
        <v>5</v>
      </c>
      <c r="B44" s="90"/>
      <c r="C44" s="159">
        <v>550000</v>
      </c>
      <c r="D44" s="95"/>
      <c r="E44" s="96"/>
      <c r="F44" s="159">
        <v>675000</v>
      </c>
      <c r="G44" s="95"/>
      <c r="H44" s="96"/>
      <c r="I44" s="159">
        <v>750000</v>
      </c>
      <c r="J44" s="95"/>
      <c r="K44" s="96"/>
    </row>
    <row r="45" spans="1:11" x14ac:dyDescent="0.25">
      <c r="A45" s="40" t="s">
        <v>4</v>
      </c>
      <c r="B45" s="90"/>
      <c r="C45" s="159">
        <f>0.3*C44</f>
        <v>165000</v>
      </c>
      <c r="D45" s="103">
        <f>+C45/C$44</f>
        <v>0.3</v>
      </c>
      <c r="E45" s="161" t="b">
        <v>1</v>
      </c>
      <c r="F45" s="159">
        <f>0.45*F44</f>
        <v>303750</v>
      </c>
      <c r="G45" s="103">
        <f>+F45/F$44</f>
        <v>0.45</v>
      </c>
      <c r="H45" s="161" t="b">
        <v>1</v>
      </c>
      <c r="I45" s="159">
        <f>0.36*I44</f>
        <v>270000</v>
      </c>
      <c r="J45" s="103">
        <f>+I45/I$44</f>
        <v>0.36</v>
      </c>
      <c r="K45" s="161" t="b">
        <v>1</v>
      </c>
    </row>
    <row r="46" spans="1:11" x14ac:dyDescent="0.25">
      <c r="A46" s="40" t="s">
        <v>6</v>
      </c>
      <c r="B46" s="90"/>
      <c r="C46" s="159">
        <f>0.75*C44</f>
        <v>412500</v>
      </c>
      <c r="D46" s="103">
        <f>+C46/C$44</f>
        <v>0.75</v>
      </c>
      <c r="E46" s="161" t="b">
        <v>1</v>
      </c>
      <c r="F46" s="159">
        <f>0.9*F44</f>
        <v>607500</v>
      </c>
      <c r="G46" s="103">
        <f>+F46/F$44</f>
        <v>0.9</v>
      </c>
      <c r="H46" s="161" t="b">
        <v>1</v>
      </c>
      <c r="I46" s="159">
        <f>0.83*I44</f>
        <v>622500</v>
      </c>
      <c r="J46" s="103">
        <f t="shared" ref="J46:J49" si="6">+I46/I$44</f>
        <v>0.83</v>
      </c>
      <c r="K46" s="161" t="b">
        <v>1</v>
      </c>
    </row>
    <row r="47" spans="1:11" x14ac:dyDescent="0.25">
      <c r="A47" s="40" t="s">
        <v>22</v>
      </c>
      <c r="B47" s="90"/>
      <c r="C47" s="159">
        <f>0.225*C44</f>
        <v>123750</v>
      </c>
      <c r="D47" s="103">
        <f t="shared" ref="D47:D49" si="7">+C47/C$44</f>
        <v>0.22500000000000001</v>
      </c>
      <c r="E47" s="161" t="b">
        <v>1</v>
      </c>
      <c r="F47" s="159">
        <f>0.38*F44</f>
        <v>256500</v>
      </c>
      <c r="G47" s="103">
        <f t="shared" ref="G47:G49" si="8">+F47/F$44</f>
        <v>0.38</v>
      </c>
      <c r="H47" s="161" t="b">
        <v>1</v>
      </c>
      <c r="I47" s="159">
        <f>0.3*I44</f>
        <v>225000</v>
      </c>
      <c r="J47" s="103">
        <f t="shared" si="6"/>
        <v>0.3</v>
      </c>
      <c r="K47" s="161" t="b">
        <v>1</v>
      </c>
    </row>
    <row r="48" spans="1:11" x14ac:dyDescent="0.25">
      <c r="A48" s="40" t="s">
        <v>23</v>
      </c>
      <c r="B48" s="90"/>
      <c r="C48" s="159"/>
      <c r="D48" s="103">
        <f t="shared" si="7"/>
        <v>0</v>
      </c>
      <c r="E48" s="161"/>
      <c r="F48" s="159"/>
      <c r="G48" s="103">
        <f t="shared" si="8"/>
        <v>0</v>
      </c>
      <c r="H48" s="161"/>
      <c r="I48" s="159"/>
      <c r="J48" s="103">
        <f t="shared" si="6"/>
        <v>0</v>
      </c>
      <c r="K48" s="161"/>
    </row>
    <row r="49" spans="1:11" x14ac:dyDescent="0.25">
      <c r="A49" s="40" t="s">
        <v>45</v>
      </c>
      <c r="B49" s="90"/>
      <c r="C49" s="159">
        <f>0.028*C44</f>
        <v>15400</v>
      </c>
      <c r="D49" s="103">
        <f t="shared" si="7"/>
        <v>2.8000000000000001E-2</v>
      </c>
      <c r="E49" s="161" t="b">
        <v>1</v>
      </c>
      <c r="F49" s="159">
        <f>0.05*F44</f>
        <v>33750</v>
      </c>
      <c r="G49" s="103">
        <f t="shared" si="8"/>
        <v>0.05</v>
      </c>
      <c r="H49" s="161" t="b">
        <v>1</v>
      </c>
      <c r="I49" s="159">
        <f>0.035*I44</f>
        <v>26250.000000000004</v>
      </c>
      <c r="J49" s="103">
        <f t="shared" si="6"/>
        <v>3.5000000000000003E-2</v>
      </c>
      <c r="K49" s="161" t="b">
        <v>1</v>
      </c>
    </row>
    <row r="50" spans="1:11" x14ac:dyDescent="0.25">
      <c r="A50" s="40" t="s">
        <v>12</v>
      </c>
      <c r="B50" s="90"/>
      <c r="C50" s="159">
        <f>0.45*C51</f>
        <v>61875</v>
      </c>
      <c r="D50" s="103">
        <f>+C50/C51</f>
        <v>0.45</v>
      </c>
      <c r="E50" s="161" t="b">
        <v>1</v>
      </c>
      <c r="F50" s="159">
        <f>0.65*F51</f>
        <v>109687.5</v>
      </c>
      <c r="G50" s="103">
        <f>+F50/F51</f>
        <v>0.65</v>
      </c>
      <c r="H50" s="161" t="b">
        <v>1</v>
      </c>
      <c r="I50" s="159">
        <f>0.51*I51</f>
        <v>95625</v>
      </c>
      <c r="J50" s="103">
        <f>+I50/I51</f>
        <v>0.51</v>
      </c>
      <c r="K50" s="161" t="b">
        <v>1</v>
      </c>
    </row>
    <row r="51" spans="1:11" x14ac:dyDescent="0.25">
      <c r="A51" s="88" t="s">
        <v>25</v>
      </c>
      <c r="B51" s="91"/>
      <c r="C51" s="160">
        <f>0.25*C44</f>
        <v>137500</v>
      </c>
      <c r="D51" s="97"/>
      <c r="E51" s="98"/>
      <c r="F51" s="160">
        <f>0.25*F44</f>
        <v>168750</v>
      </c>
      <c r="G51" s="97"/>
      <c r="H51" s="98"/>
      <c r="I51" s="160">
        <f>0.25*I44</f>
        <v>187500</v>
      </c>
      <c r="J51" s="97"/>
      <c r="K51" s="98"/>
    </row>
  </sheetData>
  <mergeCells count="14">
    <mergeCell ref="J4:K4"/>
    <mergeCell ref="A20:B21"/>
    <mergeCell ref="A31:B32"/>
    <mergeCell ref="A42:B43"/>
    <mergeCell ref="A1:I2"/>
    <mergeCell ref="D11:E12"/>
    <mergeCell ref="F11:G12"/>
    <mergeCell ref="H11:I12"/>
    <mergeCell ref="C4:C6"/>
    <mergeCell ref="D4:E5"/>
    <mergeCell ref="G4:H5"/>
    <mergeCell ref="B11:C12"/>
    <mergeCell ref="F4:F6"/>
    <mergeCell ref="I4:I6"/>
  </mergeCells>
  <dataValidations count="1">
    <dataValidation type="list" allowBlank="1" showInputMessage="1" showErrorMessage="1" sqref="E23:E28 H23:H28 K23:K28 K34:K39 H34:H39 E34:E39 E45:E50 H45:H50 K45:K50">
      <formula1>"TRUE,FALSE"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54</vt:i4>
      </vt:variant>
    </vt:vector>
  </HeadingPairs>
  <TitlesOfParts>
    <vt:vector size="56" baseType="lpstr">
      <vt:lpstr>Calculator</vt:lpstr>
      <vt:lpstr>Data</vt:lpstr>
      <vt:lpstr>CoS_TO</vt:lpstr>
      <vt:lpstr>CoS_TOLargeLower</vt:lpstr>
      <vt:lpstr>CoS_TOLargeUpper</vt:lpstr>
      <vt:lpstr>CoS_TOMedLower</vt:lpstr>
      <vt:lpstr>CoS_TOMedUpper</vt:lpstr>
      <vt:lpstr>CoS_TOSmallLower</vt:lpstr>
      <vt:lpstr>CoS_TOSmallUpper</vt:lpstr>
      <vt:lpstr>CostofSales</vt:lpstr>
      <vt:lpstr>Labour_TO</vt:lpstr>
      <vt:lpstr>Labour_TOLargeLower</vt:lpstr>
      <vt:lpstr>Labour_TOLargeUpper</vt:lpstr>
      <vt:lpstr>Labour_TOMedLower</vt:lpstr>
      <vt:lpstr>Labour_TOMedUpper</vt:lpstr>
      <vt:lpstr>Labour_TOSmallLower</vt:lpstr>
      <vt:lpstr>Labour_TOSmallUpper</vt:lpstr>
      <vt:lpstr>LabourCost</vt:lpstr>
      <vt:lpstr>LargeTOThreshold</vt:lpstr>
      <vt:lpstr>MediumTOThreshold</vt:lpstr>
      <vt:lpstr>MotorvehicleExpenses</vt:lpstr>
      <vt:lpstr>MVExp_TO</vt:lpstr>
      <vt:lpstr>MVExp_TOLargeLower</vt:lpstr>
      <vt:lpstr>MVExp_TOLargeUpper</vt:lpstr>
      <vt:lpstr>MVExp_TOMedLower</vt:lpstr>
      <vt:lpstr>MVExp_TOMedUpper</vt:lpstr>
      <vt:lpstr>MVExp_TOSmallLower</vt:lpstr>
      <vt:lpstr>MVExp_TOSmallUpper</vt:lpstr>
      <vt:lpstr>NonCapitalPurchases</vt:lpstr>
      <vt:lpstr>NonCapPurch_Sales</vt:lpstr>
      <vt:lpstr>NonCapPurch_SalesLargeLower</vt:lpstr>
      <vt:lpstr>NonCapPurch_SalesLargeUpper</vt:lpstr>
      <vt:lpstr>NonCapPurch_SalesMedLower</vt:lpstr>
      <vt:lpstr>NonCapPurch_SalesMedUpper</vt:lpstr>
      <vt:lpstr>NonCapPurch_SalesSmallLower</vt:lpstr>
      <vt:lpstr>NonCapPurch_SalesSmallUpper</vt:lpstr>
      <vt:lpstr>Rent</vt:lpstr>
      <vt:lpstr>Rent_TO</vt:lpstr>
      <vt:lpstr>Rent_TOLargeLower</vt:lpstr>
      <vt:lpstr>Rent_TOLargeUpper</vt:lpstr>
      <vt:lpstr>Rent_TOMedLower</vt:lpstr>
      <vt:lpstr>Rent_TOMedUpper</vt:lpstr>
      <vt:lpstr>Rent_TOSmallLower</vt:lpstr>
      <vt:lpstr>Rent_TOSmallUpper</vt:lpstr>
      <vt:lpstr>Size</vt:lpstr>
      <vt:lpstr>SmallTOThreshold</vt:lpstr>
      <vt:lpstr>TotalExpenses</vt:lpstr>
      <vt:lpstr>TotalSales</vt:lpstr>
      <vt:lpstr>TotExp_TO</vt:lpstr>
      <vt:lpstr>TotExp_TOLargeLower</vt:lpstr>
      <vt:lpstr>TotExp_TOLargeUpper</vt:lpstr>
      <vt:lpstr>TotExp_TOMedLower</vt:lpstr>
      <vt:lpstr>TotExp_TOMedUpper</vt:lpstr>
      <vt:lpstr>TotExp_TOSmallLower</vt:lpstr>
      <vt:lpstr>TotExp_TOSmallUpper</vt:lpstr>
      <vt:lpstr>Turnover</vt:lpstr>
    </vt:vector>
  </TitlesOfParts>
  <Company>APVTHAU28004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Salik Humayun</dc:creator>
  <cp:lastModifiedBy>Denise Mulder</cp:lastModifiedBy>
  <cp:lastPrinted>2016-04-05T05:25:09Z</cp:lastPrinted>
  <dcterms:created xsi:type="dcterms:W3CDTF">2016-03-22T05:33:24Z</dcterms:created>
  <dcterms:modified xsi:type="dcterms:W3CDTF">2016-08-09T04:43:12Z</dcterms:modified>
</cp:coreProperties>
</file>